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OOC\BFS\BUDGET\2021-23 Biennium\2022 Supplemental\Budget Development\Decision Packages\Aviation\"/>
    </mc:Choice>
  </mc:AlternateContent>
  <bookViews>
    <workbookView xWindow="0" yWindow="0" windowWidth="28800" windowHeight="12300" tabRatio="747"/>
  </bookViews>
  <sheets>
    <sheet name="COP Summary" sheetId="2" r:id="rId1"/>
    <sheet name="COP Details" sheetId="1" r:id="rId2"/>
    <sheet name="Purchase Cessna 206" sheetId="3" r:id="rId3"/>
    <sheet name="Cost of Cessna 206" sheetId="4" r:id="rId4"/>
    <sheet name="Cost of FLIR" sheetId="5" r:id="rId5"/>
    <sheet name="Prior Biennium Expenditures" sheetId="6" r:id="rId6"/>
    <sheet name="Cessna Fleet Information" sheetId="7" r:id="rId7"/>
    <sheet name="one-time appropriations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B10" i="8"/>
  <c r="G16" i="8"/>
  <c r="G12" i="8"/>
  <c r="G17" i="8" s="1"/>
  <c r="E12" i="8"/>
  <c r="E16" i="8" s="1"/>
  <c r="D11" i="8"/>
  <c r="H10" i="8"/>
  <c r="B12" i="8"/>
  <c r="D10" i="7"/>
  <c r="D9" i="7"/>
  <c r="D8" i="7"/>
  <c r="D7" i="7"/>
  <c r="D6" i="7"/>
  <c r="E15" i="6"/>
  <c r="E16" i="6" s="1"/>
  <c r="D15" i="6"/>
  <c r="C15" i="6"/>
  <c r="C16" i="6" s="1"/>
  <c r="B15" i="6"/>
  <c r="B19" i="5"/>
  <c r="B12" i="5"/>
  <c r="B9" i="5"/>
  <c r="B20" i="5" s="1"/>
  <c r="B21" i="4"/>
  <c r="B23" i="4" s="1"/>
  <c r="B13" i="3"/>
  <c r="B10" i="3"/>
  <c r="F22" i="2"/>
  <c r="G22" i="2" s="1"/>
  <c r="F21" i="2"/>
  <c r="F20" i="2"/>
  <c r="F19" i="2"/>
  <c r="F18" i="2"/>
  <c r="F17" i="2"/>
  <c r="F16" i="2"/>
  <c r="F15" i="2"/>
  <c r="F14" i="2"/>
  <c r="F13" i="2"/>
  <c r="F12" i="2"/>
  <c r="E21" i="2"/>
  <c r="E20" i="2"/>
  <c r="E19" i="2"/>
  <c r="E18" i="2"/>
  <c r="E17" i="2"/>
  <c r="E16" i="2"/>
  <c r="E15" i="2"/>
  <c r="E14" i="2"/>
  <c r="E13" i="2"/>
  <c r="E12" i="2"/>
  <c r="E11" i="2"/>
  <c r="D21" i="2"/>
  <c r="D20" i="2"/>
  <c r="D19" i="2"/>
  <c r="D18" i="2"/>
  <c r="D17" i="2"/>
  <c r="D16" i="2"/>
  <c r="D15" i="2"/>
  <c r="D14" i="2"/>
  <c r="D13" i="2"/>
  <c r="D12" i="2"/>
  <c r="D11" i="2"/>
  <c r="C20" i="2"/>
  <c r="C19" i="2"/>
  <c r="C18" i="2"/>
  <c r="C17" i="2"/>
  <c r="C16" i="2"/>
  <c r="C15" i="2"/>
  <c r="C14" i="2"/>
  <c r="C13" i="2"/>
  <c r="C12" i="2"/>
  <c r="C11" i="2"/>
  <c r="C10" i="2"/>
  <c r="B20" i="2"/>
  <c r="B19" i="2"/>
  <c r="B18" i="2"/>
  <c r="B17" i="2"/>
  <c r="B16" i="2"/>
  <c r="B15" i="2"/>
  <c r="B14" i="2"/>
  <c r="B13" i="2"/>
  <c r="B12" i="2"/>
  <c r="B11" i="2"/>
  <c r="B10" i="2"/>
  <c r="AJ38" i="1"/>
  <c r="AJ16" i="1"/>
  <c r="AJ18" i="1"/>
  <c r="AJ20" i="1"/>
  <c r="AJ22" i="1"/>
  <c r="AJ24" i="1"/>
  <c r="AJ26" i="1"/>
  <c r="AJ28" i="1"/>
  <c r="AJ30" i="1"/>
  <c r="AJ32" i="1"/>
  <c r="AJ34" i="1"/>
  <c r="AJ36" i="1"/>
  <c r="AJ37" i="1"/>
  <c r="I38" i="1"/>
  <c r="J38" i="1"/>
  <c r="K38" i="1"/>
  <c r="L38" i="1"/>
  <c r="M38" i="1"/>
  <c r="B38" i="1"/>
  <c r="C38" i="1"/>
  <c r="D38" i="1"/>
  <c r="F38" i="1"/>
  <c r="E38" i="1"/>
  <c r="R35" i="1"/>
  <c r="S36" i="1" s="1"/>
  <c r="AA36" i="1"/>
  <c r="Z36" i="1"/>
  <c r="L34" i="1"/>
  <c r="M34" i="1" s="1"/>
  <c r="F34" i="1"/>
  <c r="E34" i="1"/>
  <c r="AJ14" i="1"/>
  <c r="P38" i="1"/>
  <c r="AE38" i="1"/>
  <c r="AD38" i="1"/>
  <c r="AF37" i="1"/>
  <c r="AG37" i="1" s="1"/>
  <c r="AF36" i="1"/>
  <c r="AF35" i="1"/>
  <c r="AG36" i="1" s="1"/>
  <c r="AH37" i="1" s="1"/>
  <c r="AF34" i="1"/>
  <c r="AF33" i="1"/>
  <c r="AF32" i="1"/>
  <c r="AF31" i="1"/>
  <c r="AG32" i="1" s="1"/>
  <c r="AF30" i="1"/>
  <c r="AF29" i="1"/>
  <c r="AG30" i="1" s="1"/>
  <c r="AF28" i="1"/>
  <c r="AF27" i="1"/>
  <c r="AF26" i="1"/>
  <c r="AF25" i="1"/>
  <c r="AF24" i="1"/>
  <c r="AF23" i="1"/>
  <c r="AG24" i="1" s="1"/>
  <c r="AF22" i="1"/>
  <c r="AF21" i="1"/>
  <c r="AG22" i="1" s="1"/>
  <c r="AF20" i="1"/>
  <c r="AF19" i="1"/>
  <c r="AG20" i="1" s="1"/>
  <c r="AH22" i="1" s="1"/>
  <c r="AF18" i="1"/>
  <c r="AG18" i="1" s="1"/>
  <c r="X38" i="1"/>
  <c r="W38" i="1"/>
  <c r="Y35" i="1"/>
  <c r="Y34" i="1"/>
  <c r="Y33" i="1"/>
  <c r="Z34" i="1" s="1"/>
  <c r="Y32" i="1"/>
  <c r="Y31" i="1"/>
  <c r="Z32" i="1" s="1"/>
  <c r="AA34" i="1" s="1"/>
  <c r="Y30" i="1"/>
  <c r="Y29" i="1"/>
  <c r="Z30" i="1" s="1"/>
  <c r="Y28" i="1"/>
  <c r="Y27" i="1"/>
  <c r="Y26" i="1"/>
  <c r="Y25" i="1"/>
  <c r="Y24" i="1"/>
  <c r="Y23" i="1"/>
  <c r="Y22" i="1"/>
  <c r="Y21" i="1"/>
  <c r="Z22" i="1" s="1"/>
  <c r="Y20" i="1"/>
  <c r="Y19" i="1"/>
  <c r="Y18" i="1"/>
  <c r="Y17" i="1"/>
  <c r="Z18" i="1" s="1"/>
  <c r="Y16" i="1"/>
  <c r="Z16" i="1" s="1"/>
  <c r="AA18" i="1" s="1"/>
  <c r="Q38" i="1"/>
  <c r="R34" i="1"/>
  <c r="R33" i="1"/>
  <c r="R32" i="1"/>
  <c r="R31" i="1"/>
  <c r="S32" i="1" s="1"/>
  <c r="R30" i="1"/>
  <c r="S30" i="1" s="1"/>
  <c r="R29" i="1"/>
  <c r="R28" i="1"/>
  <c r="R27" i="1"/>
  <c r="R26" i="1"/>
  <c r="R25" i="1"/>
  <c r="R24" i="1"/>
  <c r="R23" i="1"/>
  <c r="S24" i="1" s="1"/>
  <c r="R22" i="1"/>
  <c r="R21" i="1"/>
  <c r="R20" i="1"/>
  <c r="R19" i="1"/>
  <c r="S20" i="1" s="1"/>
  <c r="R18" i="1"/>
  <c r="R17" i="1"/>
  <c r="R16" i="1"/>
  <c r="S16" i="1" s="1"/>
  <c r="K33" i="1"/>
  <c r="K32" i="1"/>
  <c r="K31" i="1"/>
  <c r="K30" i="1"/>
  <c r="K29" i="1"/>
  <c r="L30" i="1" s="1"/>
  <c r="K28" i="1"/>
  <c r="L28" i="1" s="1"/>
  <c r="M30" i="1" s="1"/>
  <c r="K27" i="1"/>
  <c r="K26" i="1"/>
  <c r="K25" i="1"/>
  <c r="L26" i="1" s="1"/>
  <c r="K24" i="1"/>
  <c r="L24" i="1" s="1"/>
  <c r="K23" i="1"/>
  <c r="K22" i="1"/>
  <c r="K21" i="1"/>
  <c r="L22" i="1" s="1"/>
  <c r="K20" i="1"/>
  <c r="K19" i="1"/>
  <c r="K18" i="1"/>
  <c r="K17" i="1"/>
  <c r="L18" i="1" s="1"/>
  <c r="K16" i="1"/>
  <c r="K15" i="1"/>
  <c r="K14" i="1"/>
  <c r="L14" i="1" s="1"/>
  <c r="B6" i="1"/>
  <c r="D15" i="1"/>
  <c r="E16" i="1" s="1"/>
  <c r="D16" i="1"/>
  <c r="D17" i="1"/>
  <c r="D18" i="1"/>
  <c r="D19" i="1"/>
  <c r="E20" i="1" s="1"/>
  <c r="D20" i="1"/>
  <c r="D21" i="1"/>
  <c r="E22" i="1" s="1"/>
  <c r="D22" i="1"/>
  <c r="D23" i="1"/>
  <c r="D24" i="1"/>
  <c r="D25" i="1"/>
  <c r="D26" i="1"/>
  <c r="D27" i="1"/>
  <c r="E28" i="1" s="1"/>
  <c r="D28" i="1"/>
  <c r="D29" i="1"/>
  <c r="D30" i="1"/>
  <c r="D31" i="1"/>
  <c r="D32" i="1"/>
  <c r="D33" i="1"/>
  <c r="D14" i="1"/>
  <c r="E14" i="1" s="1"/>
  <c r="G10" i="2" l="1"/>
  <c r="G21" i="2"/>
  <c r="G18" i="8"/>
  <c r="F11" i="8"/>
  <c r="I11" i="8" s="1"/>
  <c r="H11" i="8"/>
  <c r="H12" i="8" s="1"/>
  <c r="E17" i="8"/>
  <c r="E18" i="8" s="1"/>
  <c r="D10" i="8"/>
  <c r="F10" i="8"/>
  <c r="B21" i="5"/>
  <c r="B22" i="5" s="1"/>
  <c r="B24" i="4"/>
  <c r="B25" i="4" s="1"/>
  <c r="B11" i="3"/>
  <c r="B14" i="3" s="1"/>
  <c r="G20" i="2"/>
  <c r="C23" i="2"/>
  <c r="G12" i="2"/>
  <c r="G11" i="2"/>
  <c r="E23" i="2"/>
  <c r="F23" i="2"/>
  <c r="D23" i="2"/>
  <c r="G17" i="2"/>
  <c r="G16" i="2"/>
  <c r="B23" i="2"/>
  <c r="G18" i="2"/>
  <c r="G13" i="2"/>
  <c r="G14" i="2"/>
  <c r="G15" i="2"/>
  <c r="G19" i="2"/>
  <c r="T36" i="1"/>
  <c r="T18" i="1"/>
  <c r="F22" i="1"/>
  <c r="E24" i="1"/>
  <c r="F26" i="1" s="1"/>
  <c r="S18" i="1"/>
  <c r="E26" i="1"/>
  <c r="E32" i="1"/>
  <c r="M26" i="1"/>
  <c r="L32" i="1"/>
  <c r="S34" i="1"/>
  <c r="T34" i="1" s="1"/>
  <c r="Z28" i="1"/>
  <c r="AA30" i="1" s="1"/>
  <c r="AH34" i="1"/>
  <c r="E18" i="1"/>
  <c r="E30" i="1"/>
  <c r="L20" i="1"/>
  <c r="S22" i="1"/>
  <c r="T22" i="1" s="1"/>
  <c r="AG34" i="1"/>
  <c r="AG28" i="1"/>
  <c r="AH30" i="1" s="1"/>
  <c r="AG26" i="1"/>
  <c r="AH26" i="1" s="1"/>
  <c r="Z26" i="1"/>
  <c r="Z20" i="1"/>
  <c r="AA22" i="1" s="1"/>
  <c r="Z24" i="1"/>
  <c r="S26" i="1"/>
  <c r="T26" i="1" s="1"/>
  <c r="S28" i="1"/>
  <c r="T30" i="1" s="1"/>
  <c r="AH18" i="1"/>
  <c r="AF38" i="1"/>
  <c r="Z38" i="1"/>
  <c r="Y38" i="1"/>
  <c r="R38" i="1"/>
  <c r="M14" i="1"/>
  <c r="M22" i="1"/>
  <c r="L16" i="1"/>
  <c r="M18" i="1" s="1"/>
  <c r="F14" i="1"/>
  <c r="F18" i="1"/>
  <c r="F30" i="1"/>
  <c r="E28" i="2" l="1"/>
  <c r="E27" i="2"/>
  <c r="E29" i="2" s="1"/>
  <c r="F28" i="2"/>
  <c r="F27" i="2"/>
  <c r="F29" i="2" s="1"/>
  <c r="D27" i="2"/>
  <c r="D28" i="2"/>
  <c r="H16" i="8"/>
  <c r="H17" i="8"/>
  <c r="D12" i="8"/>
  <c r="I10" i="8"/>
  <c r="I12" i="8" s="1"/>
  <c r="F12" i="8"/>
  <c r="B15" i="3"/>
  <c r="B16" i="3" s="1"/>
  <c r="G23" i="2"/>
  <c r="S38" i="1"/>
  <c r="AA26" i="1"/>
  <c r="AG38" i="1"/>
  <c r="AH38" i="1"/>
  <c r="AA38" i="1"/>
  <c r="T38" i="1"/>
  <c r="D29" i="2" l="1"/>
  <c r="D30" i="2" s="1"/>
  <c r="F30" i="2"/>
  <c r="D16" i="8"/>
  <c r="D17" i="8"/>
  <c r="F17" i="8"/>
  <c r="F16" i="8"/>
  <c r="I16" i="8"/>
  <c r="I17" i="8"/>
  <c r="H18" i="8"/>
  <c r="I18" i="8" l="1"/>
  <c r="F18" i="8"/>
  <c r="D18" i="8"/>
</calcChain>
</file>

<file path=xl/sharedStrings.xml><?xml version="1.0" encoding="utf-8"?>
<sst xmlns="http://schemas.openxmlformats.org/spreadsheetml/2006/main" count="221" uniqueCount="147">
  <si>
    <t>Washington State Patrol</t>
  </si>
  <si>
    <t>Aircraft and Camera Estimate</t>
  </si>
  <si>
    <t>Payment Date</t>
  </si>
  <si>
    <t>Payment Amount</t>
  </si>
  <si>
    <t>Interest Rate:</t>
  </si>
  <si>
    <t>Aircraft</t>
  </si>
  <si>
    <t>Camera</t>
  </si>
  <si>
    <t>Total</t>
  </si>
  <si>
    <t>FY Total</t>
  </si>
  <si>
    <t>BI Total</t>
  </si>
  <si>
    <t>Aircraft Amount:</t>
  </si>
  <si>
    <t>Camera Amount:</t>
  </si>
  <si>
    <t>Delivery Date:</t>
  </si>
  <si>
    <t>Total Amount:</t>
  </si>
  <si>
    <t>TOTAL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</si>
  <si>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</si>
  <si>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</si>
  <si>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</si>
  <si>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</si>
  <si>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</si>
  <si>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</si>
  <si>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</si>
  <si>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</si>
  <si>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</si>
  <si>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</si>
  <si>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</si>
  <si>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</si>
  <si>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</si>
  <si>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#1</t>
  </si>
  <si>
    <t>#2</t>
  </si>
  <si>
    <t>#3</t>
  </si>
  <si>
    <t>#4</t>
  </si>
  <si>
    <t>#5</t>
  </si>
  <si>
    <t>Fiscal Year</t>
  </si>
  <si>
    <t>Cessna &amp; Camera #1</t>
  </si>
  <si>
    <t>Cessna &amp; Camera #2</t>
  </si>
  <si>
    <t>Cessna &amp; Camera #3</t>
  </si>
  <si>
    <t>Cessna &amp; Camera #4</t>
  </si>
  <si>
    <t>Cessna &amp; Camera #5</t>
  </si>
  <si>
    <t>FY Totals</t>
  </si>
  <si>
    <t>GF</t>
  </si>
  <si>
    <t>SPHA</t>
  </si>
  <si>
    <t>FY 2022</t>
  </si>
  <si>
    <t>Agency: 225 - Washington State Patrol</t>
  </si>
  <si>
    <t>Decision Package: Aircraft Replacement</t>
  </si>
  <si>
    <t>Budget Session: 2022 Supplemental</t>
  </si>
  <si>
    <t>Budget Level: Policy</t>
  </si>
  <si>
    <t>Purchase of Cessna 206</t>
  </si>
  <si>
    <t>Description</t>
  </si>
  <si>
    <t>Cost</t>
  </si>
  <si>
    <t>Cessna 206 Aircraft</t>
  </si>
  <si>
    <t>Broker Fee</t>
  </si>
  <si>
    <t>Changeover Hardware</t>
  </si>
  <si>
    <t>Escrow Fees</t>
  </si>
  <si>
    <t>Subtotal</t>
  </si>
  <si>
    <t>Tax, 10%</t>
  </si>
  <si>
    <t>Grand Total</t>
  </si>
  <si>
    <t>Note:</t>
  </si>
  <si>
    <t>Estimates are rounded up.</t>
  </si>
  <si>
    <t>Broker Fee based on 3.85% of aircraft purchase.</t>
  </si>
  <si>
    <t>Changeover hardware amount based on mechanic labor and supplies to transfer compatible equipment from old aircraft to new.</t>
  </si>
  <si>
    <t>Tax estimated at 10%.</t>
  </si>
  <si>
    <t>Cost of Cessna 206</t>
  </si>
  <si>
    <t>Aircraft Base Price</t>
  </si>
  <si>
    <t>Avionics Equipment</t>
  </si>
  <si>
    <t>Garmin Connext Satellite-Iridium (GSR 56)</t>
  </si>
  <si>
    <t>Garmin Surface Watch</t>
  </si>
  <si>
    <t>Garmin Synthetic Vision Technology</t>
  </si>
  <si>
    <t>Garmin TAS</t>
  </si>
  <si>
    <t>Garmin TAWS-B</t>
  </si>
  <si>
    <t>Safe Flight SCc Angle of Attack (AoA)</t>
  </si>
  <si>
    <t>Jeppesen Chartview Enablement Card Only</t>
  </si>
  <si>
    <t>Artex 3 Frequency Elt</t>
  </si>
  <si>
    <t>Garmin Enhanced Search and Rescue</t>
  </si>
  <si>
    <t>Oversize Tires with Fairings</t>
  </si>
  <si>
    <t>Subtotal Aircraft Purchase Price</t>
  </si>
  <si>
    <t>Acquisition Fee</t>
  </si>
  <si>
    <t>Aircraft Purchase Price</t>
  </si>
  <si>
    <t>CY2022 CPI, 3%</t>
  </si>
  <si>
    <t>CY2022 Estimated Price</t>
  </si>
  <si>
    <t>Notes:</t>
  </si>
  <si>
    <t>Costs based on CY2021 amounts.</t>
  </si>
  <si>
    <t>Price does not include tax.</t>
  </si>
  <si>
    <t>Assumed 3% consumer price index increase beginning of the calendar year with assumed purchase in July 2022.</t>
  </si>
  <si>
    <t>Cost of FLIR Camera and Equipment</t>
  </si>
  <si>
    <t>FLIR Camera</t>
  </si>
  <si>
    <t>FLIR Equipment</t>
  </si>
  <si>
    <t>Mapping System (ARS 700)</t>
  </si>
  <si>
    <t>BMS Hellicoder and Components (digital downlink)</t>
  </si>
  <si>
    <t>Multi-Tracker (Pixels/Targeting Layered on Video Display)</t>
  </si>
  <si>
    <t>Tactical Flight Officer Touch Screen Video Display</t>
  </si>
  <si>
    <t>Digital Recorder (ION)</t>
  </si>
  <si>
    <t>Tactical Flight Officer Station</t>
  </si>
  <si>
    <t>PMDC</t>
  </si>
  <si>
    <t>Wireless Air Link</t>
  </si>
  <si>
    <t>Installation (Soloy mount/certification)</t>
  </si>
  <si>
    <t>Aviation Section - Cessnas</t>
  </si>
  <si>
    <t>Historial Expenditures</t>
  </si>
  <si>
    <t>BI 17-19</t>
  </si>
  <si>
    <t>BI 19-21</t>
  </si>
  <si>
    <t>FY2018</t>
  </si>
  <si>
    <t>FY2019</t>
  </si>
  <si>
    <t>FY2020</t>
  </si>
  <si>
    <t>FY2021</t>
  </si>
  <si>
    <t>A - Salaries</t>
  </si>
  <si>
    <t>B - Benefits</t>
  </si>
  <si>
    <t>C - Professional Service Contracts</t>
  </si>
  <si>
    <t>E - Goods &amp; Services</t>
  </si>
  <si>
    <t>G - Travel</t>
  </si>
  <si>
    <t>J - Capitol Outlays</t>
  </si>
  <si>
    <t>N - Grants, Benefits, &amp; Client Services</t>
  </si>
  <si>
    <t>S - Interagency Reimbursements</t>
  </si>
  <si>
    <t>T - Intra-Agency Reimbursements</t>
  </si>
  <si>
    <t>Fiscal Year Total</t>
  </si>
  <si>
    <t>Biennium Total</t>
  </si>
  <si>
    <t>FY2021 data as of August 11, 2021. May change as biennium officially closes September 3, 2021.</t>
  </si>
  <si>
    <t>Aviation Section - Cessna Fleet</t>
  </si>
  <si>
    <t>Tail #</t>
  </si>
  <si>
    <t>Year in Service</t>
  </si>
  <si>
    <t>Age</t>
  </si>
  <si>
    <t>To be replaced</t>
  </si>
  <si>
    <t>Cessna 182</t>
  </si>
  <si>
    <t>N3532K</t>
  </si>
  <si>
    <t>N305RC</t>
  </si>
  <si>
    <t>N102LP</t>
  </si>
  <si>
    <t>Cessna 206</t>
  </si>
  <si>
    <t>N2446X</t>
  </si>
  <si>
    <t>N305DK</t>
  </si>
  <si>
    <t>Note 1: Airframe hours as of August 10, 2021.</t>
  </si>
  <si>
    <t>Attachment A</t>
  </si>
  <si>
    <t>Summary of Costs: One-Time Appropriations</t>
  </si>
  <si>
    <t>Item</t>
  </si>
  <si>
    <t>Amount</t>
  </si>
  <si>
    <t>FY2022</t>
  </si>
  <si>
    <t>FY2023</t>
  </si>
  <si>
    <t>FY2024</t>
  </si>
  <si>
    <t>FY2025</t>
  </si>
  <si>
    <t>FY2026</t>
  </si>
  <si>
    <t>GRAND TOTAL</t>
  </si>
  <si>
    <t>FLIR Camera and Equipment</t>
  </si>
  <si>
    <t>General Fund-State</t>
  </si>
  <si>
    <t>State Patrol Highway Account</t>
  </si>
  <si>
    <r>
      <t>Airframe Hours</t>
    </r>
    <r>
      <rPr>
        <u/>
        <vertAlign val="superscript"/>
        <sz val="11"/>
        <color theme="1"/>
        <rFont val="Calibri"/>
        <family val="2"/>
        <scheme val="minor"/>
      </rPr>
      <t>1</t>
    </r>
  </si>
  <si>
    <t>Debt Service Schedule Summary</t>
  </si>
  <si>
    <t>Attachment B</t>
  </si>
  <si>
    <t>Attachment C</t>
  </si>
  <si>
    <t>Attachment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</si>
</sst>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mmmm\ yyyy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auto="1"/>
      </bottom>
      <diagonal/>
    </border>
    <border>
      <left/>
      <right style="hair">
        <color auto="1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17" fontId="0" fillId="0" borderId="0" xfId="0" applyNumberFormat="1"/>
    <xf numFmtId="6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6" fontId="0" fillId="0" borderId="12" xfId="0" applyNumberFormat="1" applyBorder="1"/>
    <xf numFmtId="14" fontId="0" fillId="0" borderId="14" xfId="0" applyNumberFormat="1" applyBorder="1" applyAlignment="1">
      <alignment horizontal="left"/>
    </xf>
    <xf numFmtId="6" fontId="0" fillId="0" borderId="14" xfId="0" applyNumberFormat="1" applyBorder="1"/>
    <xf numFmtId="14" fontId="0" fillId="0" borderId="16" xfId="0" applyNumberFormat="1" applyBorder="1" applyAlignment="1">
      <alignment horizontal="left"/>
    </xf>
    <xf numFmtId="6" fontId="0" fillId="0" borderId="16" xfId="0" applyNumberFormat="1" applyBorder="1"/>
    <xf numFmtId="0" fontId="0" fillId="0" borderId="16" xfId="0" applyBorder="1"/>
    <xf numFmtId="0" fontId="0" fillId="0" borderId="14" xfId="0" applyBorder="1"/>
    <xf numFmtId="14" fontId="0" fillId="2" borderId="14" xfId="0" applyNumberFormat="1" applyFill="1" applyBorder="1" applyAlignment="1">
      <alignment horizontal="left"/>
    </xf>
    <xf numFmtId="6" fontId="0" fillId="2" borderId="14" xfId="0" applyNumberFormat="1" applyFill="1" applyBorder="1"/>
    <xf numFmtId="14" fontId="0" fillId="2" borderId="16" xfId="0" applyNumberFormat="1" applyFill="1" applyBorder="1" applyAlignment="1">
      <alignment horizontal="left"/>
    </xf>
    <xf numFmtId="6" fontId="0" fillId="2" borderId="16" xfId="0" applyNumberFormat="1" applyFill="1" applyBorder="1"/>
    <xf numFmtId="0" fontId="0" fillId="2" borderId="16" xfId="0" applyFill="1" applyBorder="1"/>
    <xf numFmtId="0" fontId="0" fillId="2" borderId="14" xfId="0" applyFill="1" applyBorder="1"/>
    <xf numFmtId="6" fontId="0" fillId="0" borderId="17" xfId="0" applyNumberFormat="1" applyBorder="1"/>
    <xf numFmtId="6" fontId="0" fillId="2" borderId="15" xfId="0" applyNumberFormat="1" applyFill="1" applyBorder="1"/>
    <xf numFmtId="6" fontId="0" fillId="2" borderId="18" xfId="0" applyNumberFormat="1" applyFill="1" applyBorder="1"/>
    <xf numFmtId="6" fontId="0" fillId="0" borderId="15" xfId="0" applyNumberFormat="1" applyBorder="1"/>
    <xf numFmtId="6" fontId="0" fillId="0" borderId="18" xfId="0" applyNumberFormat="1" applyBorder="1"/>
    <xf numFmtId="6" fontId="0" fillId="2" borderId="19" xfId="0" applyNumberFormat="1" applyFill="1" applyBorder="1"/>
    <xf numFmtId="6" fontId="0" fillId="0" borderId="21" xfId="0" applyNumberFormat="1" applyBorder="1"/>
    <xf numFmtId="6" fontId="0" fillId="2" borderId="22" xfId="0" applyNumberFormat="1" applyFill="1" applyBorder="1"/>
    <xf numFmtId="6" fontId="0" fillId="2" borderId="23" xfId="0" applyNumberFormat="1" applyFill="1" applyBorder="1"/>
    <xf numFmtId="6" fontId="0" fillId="0" borderId="22" xfId="0" applyNumberFormat="1" applyBorder="1"/>
    <xf numFmtId="6" fontId="0" fillId="0" borderId="23" xfId="0" applyNumberFormat="1" applyBorder="1"/>
    <xf numFmtId="6" fontId="0" fillId="0" borderId="24" xfId="0" applyNumberFormat="1" applyBorder="1"/>
    <xf numFmtId="0" fontId="0" fillId="2" borderId="23" xfId="0" applyFill="1" applyBorder="1"/>
    <xf numFmtId="0" fontId="0" fillId="0" borderId="22" xfId="0" applyBorder="1"/>
    <xf numFmtId="0" fontId="0" fillId="2" borderId="22" xfId="0" applyFill="1" applyBorder="1"/>
    <xf numFmtId="0" fontId="0" fillId="0" borderId="25" xfId="0" applyBorder="1"/>
    <xf numFmtId="6" fontId="0" fillId="0" borderId="26" xfId="0" applyNumberFormat="1" applyBorder="1"/>
    <xf numFmtId="6" fontId="0" fillId="0" borderId="1" xfId="0" applyNumberFormat="1" applyBorder="1"/>
    <xf numFmtId="6" fontId="0" fillId="0" borderId="0" xfId="0" applyNumberFormat="1" applyBorder="1"/>
    <xf numFmtId="0" fontId="0" fillId="0" borderId="0" xfId="0" applyFill="1"/>
    <xf numFmtId="6" fontId="0" fillId="0" borderId="0" xfId="0" applyNumberFormat="1" applyFill="1"/>
    <xf numFmtId="8" fontId="0" fillId="0" borderId="0" xfId="0" applyNumberFormat="1" applyFill="1"/>
    <xf numFmtId="10" fontId="0" fillId="0" borderId="0" xfId="0" applyNumberFormat="1" applyFill="1"/>
    <xf numFmtId="0" fontId="0" fillId="0" borderId="10" xfId="0" applyFill="1" applyBorder="1"/>
    <xf numFmtId="0" fontId="0" fillId="0" borderId="1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16" xfId="0" applyNumberFormat="1" applyFill="1" applyBorder="1" applyAlignment="1">
      <alignment horizontal="left"/>
    </xf>
    <xf numFmtId="14" fontId="0" fillId="0" borderId="14" xfId="0" applyNumberFormat="1" applyFill="1" applyBorder="1" applyAlignment="1">
      <alignment horizontal="left"/>
    </xf>
    <xf numFmtId="6" fontId="0" fillId="0" borderId="16" xfId="0" applyNumberFormat="1" applyFill="1" applyBorder="1"/>
    <xf numFmtId="6" fontId="0" fillId="0" borderId="23" xfId="0" applyNumberFormat="1" applyFill="1" applyBorder="1"/>
    <xf numFmtId="6" fontId="0" fillId="0" borderId="14" xfId="0" applyNumberFormat="1" applyFill="1" applyBorder="1"/>
    <xf numFmtId="6" fontId="0" fillId="0" borderId="22" xfId="0" applyNumberFormat="1" applyFill="1" applyBorder="1"/>
    <xf numFmtId="0" fontId="0" fillId="0" borderId="23" xfId="0" applyFill="1" applyBorder="1"/>
    <xf numFmtId="0" fontId="0" fillId="0" borderId="22" xfId="0" applyFill="1" applyBorder="1"/>
    <xf numFmtId="0" fontId="0" fillId="0" borderId="25" xfId="0" applyFill="1" applyBorder="1"/>
    <xf numFmtId="6" fontId="0" fillId="0" borderId="26" xfId="0" applyNumberFormat="1" applyFill="1" applyBorder="1"/>
    <xf numFmtId="6" fontId="0" fillId="0" borderId="1" xfId="0" applyNumberFormat="1" applyFill="1" applyBorder="1"/>
    <xf numFmtId="0" fontId="0" fillId="0" borderId="27" xfId="0" applyBorder="1"/>
    <xf numFmtId="6" fontId="0" fillId="0" borderId="25" xfId="0" applyNumberFormat="1" applyFill="1" applyBorder="1"/>
    <xf numFmtId="6" fontId="0" fillId="0" borderId="25" xfId="0" applyNumberFormat="1" applyBorder="1"/>
    <xf numFmtId="6" fontId="0" fillId="0" borderId="28" xfId="0" applyNumberFormat="1" applyBorder="1"/>
    <xf numFmtId="0" fontId="0" fillId="2" borderId="20" xfId="0" applyFill="1" applyBorder="1"/>
    <xf numFmtId="0" fontId="0" fillId="2" borderId="29" xfId="0" applyFill="1" applyBorder="1"/>
    <xf numFmtId="6" fontId="0" fillId="2" borderId="31" xfId="0" applyNumberFormat="1" applyFill="1" applyBorder="1"/>
    <xf numFmtId="6" fontId="0" fillId="0" borderId="29" xfId="0" applyNumberFormat="1" applyFill="1" applyBorder="1"/>
    <xf numFmtId="6" fontId="0" fillId="0" borderId="31" xfId="0" applyNumberFormat="1" applyFill="1" applyBorder="1"/>
    <xf numFmtId="6" fontId="0" fillId="2" borderId="29" xfId="0" applyNumberFormat="1" applyFill="1" applyBorder="1"/>
    <xf numFmtId="0" fontId="0" fillId="0" borderId="12" xfId="0" applyBorder="1"/>
    <xf numFmtId="0" fontId="0" fillId="2" borderId="31" xfId="0" applyFill="1" applyBorder="1"/>
    <xf numFmtId="0" fontId="0" fillId="0" borderId="14" xfId="0" applyFill="1" applyBorder="1"/>
    <xf numFmtId="0" fontId="0" fillId="0" borderId="29" xfId="0" applyFill="1" applyBorder="1"/>
    <xf numFmtId="0" fontId="0" fillId="0" borderId="16" xfId="0" applyFill="1" applyBorder="1"/>
    <xf numFmtId="0" fontId="0" fillId="0" borderId="31" xfId="0" applyFill="1" applyBorder="1"/>
    <xf numFmtId="0" fontId="0" fillId="0" borderId="31" xfId="0" applyBorder="1"/>
    <xf numFmtId="0" fontId="0" fillId="0" borderId="23" xfId="0" applyBorder="1"/>
    <xf numFmtId="6" fontId="0" fillId="0" borderId="32" xfId="0" applyNumberFormat="1" applyBorder="1"/>
    <xf numFmtId="6" fontId="0" fillId="2" borderId="32" xfId="0" applyNumberFormat="1" applyFill="1" applyBorder="1"/>
    <xf numFmtId="6" fontId="0" fillId="2" borderId="33" xfId="0" applyNumberFormat="1" applyFill="1" applyBorder="1"/>
    <xf numFmtId="6" fontId="0" fillId="0" borderId="32" xfId="0" applyNumberFormat="1" applyFill="1" applyBorder="1"/>
    <xf numFmtId="6" fontId="0" fillId="0" borderId="13" xfId="0" applyNumberFormat="1" applyBorder="1"/>
    <xf numFmtId="0" fontId="0" fillId="0" borderId="30" xfId="0" applyFill="1" applyBorder="1"/>
    <xf numFmtId="0" fontId="0" fillId="0" borderId="30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28" xfId="0" applyFill="1" applyBorder="1" applyAlignment="1">
      <alignment horizontal="center"/>
    </xf>
    <xf numFmtId="9" fontId="0" fillId="0" borderId="0" xfId="0" applyNumberFormat="1"/>
    <xf numFmtId="6" fontId="0" fillId="0" borderId="27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Font="1" applyBorder="1"/>
    <xf numFmtId="0" fontId="0" fillId="0" borderId="8" xfId="0" applyBorder="1"/>
    <xf numFmtId="6" fontId="0" fillId="0" borderId="9" xfId="0" applyNumberFormat="1" applyBorder="1"/>
    <xf numFmtId="0" fontId="0" fillId="0" borderId="34" xfId="0" applyBorder="1"/>
    <xf numFmtId="6" fontId="0" fillId="0" borderId="35" xfId="0" applyNumberFormat="1" applyBorder="1"/>
    <xf numFmtId="0" fontId="0" fillId="0" borderId="36" xfId="0" applyBorder="1"/>
    <xf numFmtId="6" fontId="0" fillId="0" borderId="37" xfId="0" applyNumberFormat="1" applyBorder="1"/>
    <xf numFmtId="0" fontId="2" fillId="0" borderId="38" xfId="0" applyFont="1" applyBorder="1"/>
    <xf numFmtId="6" fontId="2" fillId="0" borderId="39" xfId="0" applyNumberFormat="1" applyFont="1" applyBorder="1"/>
    <xf numFmtId="165" fontId="0" fillId="0" borderId="0" xfId="0" applyNumberFormat="1"/>
    <xf numFmtId="0" fontId="0" fillId="0" borderId="0" xfId="0" applyAlignment="1">
      <alignment horizontal="left" indent="2"/>
    </xf>
    <xf numFmtId="165" fontId="0" fillId="0" borderId="27" xfId="0" applyNumberFormat="1" applyBorder="1"/>
    <xf numFmtId="0" fontId="2" fillId="0" borderId="40" xfId="0" applyFont="1" applyBorder="1"/>
    <xf numFmtId="165" fontId="2" fillId="0" borderId="40" xfId="0" applyNumberFormat="1" applyFont="1" applyBorder="1"/>
    <xf numFmtId="0" fontId="1" fillId="0" borderId="0" xfId="0" applyFont="1"/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right"/>
    </xf>
    <xf numFmtId="6" fontId="2" fillId="0" borderId="4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2.140625" customWidth="1"/>
    <col min="2" max="6" width="13.7109375" customWidth="1"/>
    <col min="7" max="7" width="15.7109375" customWidth="1"/>
  </cols>
  <sheetData>
    <row r="1" spans="1:7" x14ac:dyDescent="0.25">
      <c r="A1" t="s">
        <v>43</v>
      </c>
    </row>
    <row r="2" spans="1:7" x14ac:dyDescent="0.25">
      <c r="A2" t="s">
        <v>44</v>
      </c>
    </row>
    <row r="3" spans="1:7" x14ac:dyDescent="0.25">
      <c r="A3" t="s">
        <v>45</v>
      </c>
    </row>
    <row r="4" spans="1:7" x14ac:dyDescent="0.25">
      <c r="A4" t="s">
        <v>46</v>
      </c>
    </row>
    <row r="6" spans="1:7" x14ac:dyDescent="0.25">
      <c r="A6" t="s">
        <v>129</v>
      </c>
    </row>
    <row r="7" spans="1:7" x14ac:dyDescent="0.25">
      <c r="A7" t="s">
        <v>143</v>
      </c>
    </row>
    <row r="9" spans="1:7" x14ac:dyDescent="0.25">
      <c r="A9" s="95" t="s">
        <v>33</v>
      </c>
      <c r="B9" s="92" t="s">
        <v>28</v>
      </c>
      <c r="C9" s="92" t="s">
        <v>29</v>
      </c>
      <c r="D9" s="92" t="s">
        <v>30</v>
      </c>
      <c r="E9" s="92" t="s">
        <v>31</v>
      </c>
      <c r="F9" s="92" t="s">
        <v>32</v>
      </c>
      <c r="G9" s="92" t="s">
        <v>7</v>
      </c>
    </row>
    <row r="10" spans="1:7" x14ac:dyDescent="0.25">
      <c r="A10" s="93" t="s">
        <v>15</v>
      </c>
      <c r="B10" s="16">
        <f>'COP Details'!E14</f>
        <v>34579</v>
      </c>
      <c r="C10" s="16">
        <f>'COP Details'!L14</f>
        <v>34579</v>
      </c>
      <c r="D10" s="17"/>
      <c r="E10" s="17"/>
      <c r="F10" s="91"/>
      <c r="G10" s="35">
        <f>SUM(B10:F10)</f>
        <v>69158</v>
      </c>
    </row>
    <row r="11" spans="1:7" x14ac:dyDescent="0.25">
      <c r="A11" s="75" t="s">
        <v>16</v>
      </c>
      <c r="B11" s="12">
        <f>'COP Details'!E16</f>
        <v>242750</v>
      </c>
      <c r="C11" s="12">
        <f>'COP Details'!L16</f>
        <v>242750</v>
      </c>
      <c r="D11" s="12">
        <f>'COP Details'!S16</f>
        <v>34579</v>
      </c>
      <c r="E11" s="12">
        <f>'COP Details'!Z16</f>
        <v>34579</v>
      </c>
      <c r="F11" s="90"/>
      <c r="G11" s="36">
        <f t="shared" ref="G11:G22" si="0">SUM(B11:F11)</f>
        <v>554658</v>
      </c>
    </row>
    <row r="12" spans="1:7" x14ac:dyDescent="0.25">
      <c r="A12" s="75" t="s">
        <v>17</v>
      </c>
      <c r="B12" s="12">
        <f>'COP Details'!E18</f>
        <v>245000</v>
      </c>
      <c r="C12" s="12">
        <f>'COP Details'!L18</f>
        <v>245000</v>
      </c>
      <c r="D12" s="12">
        <f>'COP Details'!S18</f>
        <v>242750</v>
      </c>
      <c r="E12" s="12">
        <f>'COP Details'!Z18</f>
        <v>242750</v>
      </c>
      <c r="F12" s="25">
        <f>'COP Details'!AG18</f>
        <v>34579</v>
      </c>
      <c r="G12" s="36">
        <f t="shared" si="0"/>
        <v>1010079</v>
      </c>
    </row>
    <row r="13" spans="1:7" x14ac:dyDescent="0.25">
      <c r="A13" s="75" t="s">
        <v>18</v>
      </c>
      <c r="B13" s="12">
        <f>'COP Details'!E20</f>
        <v>246750</v>
      </c>
      <c r="C13" s="12">
        <f>'COP Details'!L20</f>
        <v>246750</v>
      </c>
      <c r="D13" s="12">
        <f>'COP Details'!S20</f>
        <v>245000</v>
      </c>
      <c r="E13" s="12">
        <f>'COP Details'!Z20</f>
        <v>245000</v>
      </c>
      <c r="F13" s="25">
        <f>'COP Details'!AG20</f>
        <v>242750</v>
      </c>
      <c r="G13" s="36">
        <f t="shared" si="0"/>
        <v>1226250</v>
      </c>
    </row>
    <row r="14" spans="1:7" x14ac:dyDescent="0.25">
      <c r="A14" s="75" t="s">
        <v>19</v>
      </c>
      <c r="B14" s="12">
        <f>'COP Details'!E22</f>
        <v>248000</v>
      </c>
      <c r="C14" s="12">
        <f>'COP Details'!L22</f>
        <v>248000</v>
      </c>
      <c r="D14" s="12">
        <f>'COP Details'!S22</f>
        <v>246750</v>
      </c>
      <c r="E14" s="12">
        <f>'COP Details'!Z22</f>
        <v>246750</v>
      </c>
      <c r="F14" s="25">
        <f>'COP Details'!AG22</f>
        <v>245000</v>
      </c>
      <c r="G14" s="36">
        <f t="shared" si="0"/>
        <v>1234500</v>
      </c>
    </row>
    <row r="15" spans="1:7" x14ac:dyDescent="0.25">
      <c r="A15" s="75" t="s">
        <v>20</v>
      </c>
      <c r="B15" s="12">
        <f>'COP Details'!E24</f>
        <v>248750</v>
      </c>
      <c r="C15" s="12">
        <f>'COP Details'!L24</f>
        <v>248750</v>
      </c>
      <c r="D15" s="12">
        <f>'COP Details'!S24</f>
        <v>248000</v>
      </c>
      <c r="E15" s="12">
        <f>'COP Details'!Z24</f>
        <v>248000</v>
      </c>
      <c r="F15" s="25">
        <f>'COP Details'!AG24</f>
        <v>246750</v>
      </c>
      <c r="G15" s="36">
        <f t="shared" si="0"/>
        <v>1240250</v>
      </c>
    </row>
    <row r="16" spans="1:7" x14ac:dyDescent="0.25">
      <c r="A16" s="75" t="s">
        <v>21</v>
      </c>
      <c r="B16" s="12">
        <f>'COP Details'!E26</f>
        <v>244125</v>
      </c>
      <c r="C16" s="12">
        <f>'COP Details'!L26</f>
        <v>244125</v>
      </c>
      <c r="D16" s="12">
        <f>'COP Details'!S26</f>
        <v>248750</v>
      </c>
      <c r="E16" s="12">
        <f>'COP Details'!Z26</f>
        <v>248750</v>
      </c>
      <c r="F16" s="25">
        <f>'COP Details'!AG26</f>
        <v>248000</v>
      </c>
      <c r="G16" s="36">
        <f t="shared" si="0"/>
        <v>1233750</v>
      </c>
    </row>
    <row r="17" spans="1:7" x14ac:dyDescent="0.25">
      <c r="A17" s="75" t="s">
        <v>22</v>
      </c>
      <c r="B17" s="12">
        <f>'COP Details'!E28</f>
        <v>239250</v>
      </c>
      <c r="C17" s="12">
        <f>'COP Details'!L28</f>
        <v>239250</v>
      </c>
      <c r="D17" s="12">
        <f>'COP Details'!S28</f>
        <v>244125</v>
      </c>
      <c r="E17" s="12">
        <f>'COP Details'!Z28</f>
        <v>244125</v>
      </c>
      <c r="F17" s="25">
        <f>'COP Details'!AG28</f>
        <v>248750</v>
      </c>
      <c r="G17" s="36">
        <f t="shared" si="0"/>
        <v>1215500</v>
      </c>
    </row>
    <row r="18" spans="1:7" x14ac:dyDescent="0.25">
      <c r="A18" s="75" t="s">
        <v>23</v>
      </c>
      <c r="B18" s="12">
        <f>'COP Details'!E30</f>
        <v>243875</v>
      </c>
      <c r="C18" s="12">
        <f>'COP Details'!L30</f>
        <v>243875</v>
      </c>
      <c r="D18" s="12">
        <f>'COP Details'!S30</f>
        <v>239250</v>
      </c>
      <c r="E18" s="12">
        <f>'COP Details'!Z30</f>
        <v>239250</v>
      </c>
      <c r="F18" s="25">
        <f>'COP Details'!AG30</f>
        <v>244125</v>
      </c>
      <c r="G18" s="36">
        <f t="shared" si="0"/>
        <v>1210375</v>
      </c>
    </row>
    <row r="19" spans="1:7" x14ac:dyDescent="0.25">
      <c r="A19" s="75" t="s">
        <v>24</v>
      </c>
      <c r="B19" s="12">
        <f>'COP Details'!E32</f>
        <v>247750</v>
      </c>
      <c r="C19" s="12">
        <f>'COP Details'!L32</f>
        <v>247750</v>
      </c>
      <c r="D19" s="12">
        <f>'COP Details'!S32</f>
        <v>243875</v>
      </c>
      <c r="E19" s="12">
        <f>'COP Details'!Z32</f>
        <v>243875</v>
      </c>
      <c r="F19" s="25">
        <f>'COP Details'!AG32</f>
        <v>239250</v>
      </c>
      <c r="G19" s="36">
        <f t="shared" si="0"/>
        <v>1222500</v>
      </c>
    </row>
    <row r="20" spans="1:7" x14ac:dyDescent="0.25">
      <c r="A20" s="75" t="s">
        <v>25</v>
      </c>
      <c r="B20" s="12">
        <f>'COP Details'!E34</f>
        <v>246000</v>
      </c>
      <c r="C20" s="12">
        <f>'COP Details'!L34</f>
        <v>246000</v>
      </c>
      <c r="D20" s="12">
        <f>'COP Details'!S34</f>
        <v>247750</v>
      </c>
      <c r="E20" s="12">
        <f>'COP Details'!Z34</f>
        <v>247750</v>
      </c>
      <c r="F20" s="25">
        <f>'COP Details'!AG34</f>
        <v>243875</v>
      </c>
      <c r="G20" s="36">
        <f t="shared" si="0"/>
        <v>1231375</v>
      </c>
    </row>
    <row r="21" spans="1:7" x14ac:dyDescent="0.25">
      <c r="A21" s="75" t="s">
        <v>26</v>
      </c>
      <c r="B21" s="75"/>
      <c r="C21" s="75"/>
      <c r="D21" s="12">
        <f>'COP Details'!S36</f>
        <v>246000</v>
      </c>
      <c r="E21" s="12">
        <f>'COP Details'!Z36</f>
        <v>246000</v>
      </c>
      <c r="F21" s="25">
        <f>'COP Details'!AG36</f>
        <v>247750</v>
      </c>
      <c r="G21" s="36">
        <f t="shared" si="0"/>
        <v>739750</v>
      </c>
    </row>
    <row r="22" spans="1:7" x14ac:dyDescent="0.25">
      <c r="A22" s="18" t="s">
        <v>27</v>
      </c>
      <c r="B22" s="18"/>
      <c r="C22" s="18"/>
      <c r="D22" s="14"/>
      <c r="E22" s="18"/>
      <c r="F22" s="28">
        <f>'COP Details'!AG37</f>
        <v>246000</v>
      </c>
      <c r="G22" s="34">
        <f t="shared" si="0"/>
        <v>246000</v>
      </c>
    </row>
    <row r="23" spans="1:7" ht="20.100000000000001" customHeight="1" x14ac:dyDescent="0.25">
      <c r="A23" s="94" t="s">
        <v>14</v>
      </c>
      <c r="B23" s="42">
        <f t="shared" ref="B23:E23" si="1">SUM(B10:B22)</f>
        <v>2486829</v>
      </c>
      <c r="C23" s="42">
        <f t="shared" si="1"/>
        <v>2486829</v>
      </c>
      <c r="D23" s="42">
        <f t="shared" si="1"/>
        <v>2486829</v>
      </c>
      <c r="E23" s="42">
        <f t="shared" si="1"/>
        <v>2486829</v>
      </c>
      <c r="F23" s="42">
        <f>SUM(F10:F22)</f>
        <v>2486829</v>
      </c>
      <c r="G23" s="42">
        <f>SUM(G10:G22)</f>
        <v>12434145</v>
      </c>
    </row>
    <row r="26" spans="1:7" x14ac:dyDescent="0.25">
      <c r="C26" s="4" t="s">
        <v>42</v>
      </c>
      <c r="D26" s="4" t="s">
        <v>15</v>
      </c>
      <c r="E26" s="4" t="s">
        <v>16</v>
      </c>
      <c r="F26" s="4" t="s">
        <v>17</v>
      </c>
    </row>
    <row r="27" spans="1:7" x14ac:dyDescent="0.25">
      <c r="A27" t="s">
        <v>40</v>
      </c>
      <c r="B27" s="99">
        <v>0.02</v>
      </c>
      <c r="D27" s="2">
        <f>ROUND(G10*$B$27,-3)</f>
        <v>1000</v>
      </c>
      <c r="E27" s="2">
        <f>ROUND(G11*$B$27,-3)</f>
        <v>11000</v>
      </c>
      <c r="F27" s="2">
        <f>ROUND(G12*$B$27,-3)</f>
        <v>20000</v>
      </c>
      <c r="G27" s="43"/>
    </row>
    <row r="28" spans="1:7" x14ac:dyDescent="0.25">
      <c r="A28" t="s">
        <v>41</v>
      </c>
      <c r="B28" s="99">
        <v>0.98</v>
      </c>
      <c r="D28" s="2">
        <f>ROUND(G10*$B$28,-3)</f>
        <v>68000</v>
      </c>
      <c r="E28" s="2">
        <f>ROUND(G11*$B$28,-3)</f>
        <v>544000</v>
      </c>
      <c r="F28" s="2">
        <f>ROUND(G12*$B$28,-3)</f>
        <v>990000</v>
      </c>
      <c r="G28" s="43"/>
    </row>
    <row r="29" spans="1:7" x14ac:dyDescent="0.25">
      <c r="C29" s="65"/>
      <c r="D29" s="100">
        <f>SUM(D27:D28)</f>
        <v>69000</v>
      </c>
      <c r="E29" s="100">
        <f t="shared" ref="E29:F29" si="2">SUM(E27:E28)</f>
        <v>555000</v>
      </c>
      <c r="F29" s="100">
        <f t="shared" si="2"/>
        <v>1010000</v>
      </c>
      <c r="G29" s="43"/>
    </row>
    <row r="30" spans="1:7" x14ac:dyDescent="0.25">
      <c r="D30" s="2">
        <f>C29+D29</f>
        <v>69000</v>
      </c>
      <c r="F30" s="2">
        <f>E29+F29</f>
        <v>1565000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85" zoomScaleNormal="85" workbookViewId="0">
      <selection activeCell="AE28" sqref="AE28"/>
    </sheetView>
  </sheetViews>
  <sheetFormatPr defaultRowHeight="15" x14ac:dyDescent="0.25"/>
  <cols>
    <col min="1" max="1" width="15.7109375" customWidth="1"/>
    <col min="2" max="2" width="13.7109375" customWidth="1"/>
    <col min="3" max="3" width="13.5703125" customWidth="1"/>
    <col min="4" max="6" width="13.7109375" customWidth="1"/>
    <col min="7" max="7" width="5.7109375" customWidth="1"/>
    <col min="8" max="8" width="15.7109375" customWidth="1"/>
    <col min="9" max="9" width="13.7109375" customWidth="1"/>
    <col min="10" max="10" width="13.5703125" customWidth="1"/>
    <col min="11" max="13" width="13.7109375" customWidth="1"/>
    <col min="14" max="14" width="5.7109375" customWidth="1"/>
    <col min="15" max="15" width="15.7109375" style="44" customWidth="1"/>
    <col min="16" max="16" width="13.7109375" style="44" customWidth="1"/>
    <col min="17" max="17" width="13.5703125" style="44" customWidth="1"/>
    <col min="18" max="20" width="13.7109375" style="44" customWidth="1"/>
    <col min="21" max="21" width="5.7109375" customWidth="1"/>
    <col min="22" max="22" width="15.7109375" customWidth="1"/>
    <col min="23" max="23" width="13.7109375" customWidth="1"/>
    <col min="24" max="24" width="13.5703125" customWidth="1"/>
    <col min="25" max="27" width="13.7109375" customWidth="1"/>
    <col min="28" max="28" width="5.7109375" customWidth="1"/>
    <col min="29" max="29" width="15.7109375" customWidth="1"/>
    <col min="30" max="30" width="13.7109375" customWidth="1"/>
    <col min="31" max="31" width="13.5703125" customWidth="1"/>
    <col min="32" max="34" width="13.7109375" customWidth="1"/>
    <col min="36" max="36" width="13.85546875" customWidth="1"/>
  </cols>
  <sheetData>
    <row r="1" spans="1:36" x14ac:dyDescent="0.25">
      <c r="A1" t="s">
        <v>0</v>
      </c>
    </row>
    <row r="2" spans="1:36" x14ac:dyDescent="0.25">
      <c r="A2" t="s">
        <v>1</v>
      </c>
    </row>
    <row r="4" spans="1:36" x14ac:dyDescent="0.25">
      <c r="A4" t="s">
        <v>10</v>
      </c>
      <c r="B4" s="2">
        <v>1105000</v>
      </c>
      <c r="I4" s="2"/>
      <c r="P4" s="45"/>
      <c r="W4" s="2"/>
      <c r="AD4" s="2"/>
    </row>
    <row r="5" spans="1:36" x14ac:dyDescent="0.25">
      <c r="A5" t="s">
        <v>11</v>
      </c>
      <c r="B5" s="2">
        <v>1117000</v>
      </c>
      <c r="I5" s="2"/>
      <c r="P5" s="45"/>
      <c r="W5" s="2"/>
      <c r="AD5" s="2"/>
    </row>
    <row r="6" spans="1:36" x14ac:dyDescent="0.25">
      <c r="A6" t="s">
        <v>13</v>
      </c>
      <c r="B6" s="2">
        <f>B4+B5</f>
        <v>2222000</v>
      </c>
      <c r="C6" s="5"/>
      <c r="I6" s="2"/>
      <c r="J6" s="5"/>
      <c r="P6" s="45"/>
      <c r="Q6" s="46"/>
      <c r="W6" s="2"/>
      <c r="X6" s="5"/>
      <c r="AD6" s="2"/>
      <c r="AE6" s="5"/>
    </row>
    <row r="7" spans="1:36" x14ac:dyDescent="0.25">
      <c r="A7" t="s">
        <v>4</v>
      </c>
      <c r="B7" s="3">
        <v>2.1100000000000001E-2</v>
      </c>
      <c r="I7" s="3"/>
      <c r="P7" s="47"/>
      <c r="W7" s="3"/>
      <c r="AD7" s="3"/>
    </row>
    <row r="9" spans="1:36" x14ac:dyDescent="0.25">
      <c r="A9" t="s">
        <v>34</v>
      </c>
      <c r="H9" t="s">
        <v>35</v>
      </c>
      <c r="O9" t="s">
        <v>36</v>
      </c>
      <c r="V9" t="s">
        <v>37</v>
      </c>
      <c r="AC9" t="s">
        <v>38</v>
      </c>
    </row>
    <row r="10" spans="1:36" x14ac:dyDescent="0.25">
      <c r="A10" t="s">
        <v>12</v>
      </c>
      <c r="B10" s="96">
        <v>44958</v>
      </c>
      <c r="H10" t="s">
        <v>12</v>
      </c>
      <c r="I10" s="96">
        <v>45047</v>
      </c>
      <c r="O10" s="44" t="s">
        <v>12</v>
      </c>
      <c r="P10" s="97">
        <v>45323</v>
      </c>
      <c r="V10" t="s">
        <v>12</v>
      </c>
      <c r="W10" s="96">
        <v>45413</v>
      </c>
      <c r="AC10" t="s">
        <v>12</v>
      </c>
      <c r="AD10" s="96">
        <v>45689</v>
      </c>
    </row>
    <row r="11" spans="1:36" x14ac:dyDescent="0.25">
      <c r="B11" s="2"/>
      <c r="C11" s="5"/>
      <c r="I11" s="2"/>
      <c r="J11" s="5"/>
      <c r="P11" s="45"/>
      <c r="Q11" s="46"/>
      <c r="W11" s="2"/>
      <c r="X11" s="5"/>
      <c r="AD11" s="2"/>
      <c r="AE11" s="5"/>
    </row>
    <row r="12" spans="1:36" x14ac:dyDescent="0.25">
      <c r="A12" s="9"/>
      <c r="B12" s="130" t="s">
        <v>3</v>
      </c>
      <c r="C12" s="131"/>
      <c r="D12" s="132"/>
      <c r="E12" s="9"/>
      <c r="F12" s="9"/>
      <c r="H12" s="9"/>
      <c r="I12" s="130" t="s">
        <v>3</v>
      </c>
      <c r="J12" s="131"/>
      <c r="K12" s="132"/>
      <c r="L12" s="9"/>
      <c r="M12" s="9"/>
      <c r="O12" s="48"/>
      <c r="P12" s="133" t="s">
        <v>3</v>
      </c>
      <c r="Q12" s="134"/>
      <c r="R12" s="135"/>
      <c r="S12" s="48"/>
      <c r="T12" s="48"/>
      <c r="V12" s="9"/>
      <c r="W12" s="130" t="s">
        <v>3</v>
      </c>
      <c r="X12" s="131"/>
      <c r="Y12" s="132"/>
      <c r="Z12" s="9"/>
      <c r="AA12" s="9"/>
      <c r="AC12" s="9"/>
      <c r="AD12" s="130" t="s">
        <v>3</v>
      </c>
      <c r="AE12" s="131"/>
      <c r="AF12" s="132"/>
      <c r="AG12" s="9"/>
      <c r="AH12" s="9"/>
    </row>
    <row r="13" spans="1:36" x14ac:dyDescent="0.25">
      <c r="A13" s="10" t="s">
        <v>2</v>
      </c>
      <c r="B13" s="6" t="s">
        <v>5</v>
      </c>
      <c r="C13" s="7" t="s">
        <v>6</v>
      </c>
      <c r="D13" s="8" t="s">
        <v>7</v>
      </c>
      <c r="E13" s="11" t="s">
        <v>8</v>
      </c>
      <c r="F13" s="11" t="s">
        <v>9</v>
      </c>
      <c r="H13" s="10" t="s">
        <v>2</v>
      </c>
      <c r="I13" s="6" t="s">
        <v>5</v>
      </c>
      <c r="J13" s="7" t="s">
        <v>6</v>
      </c>
      <c r="K13" s="8" t="s">
        <v>7</v>
      </c>
      <c r="L13" s="11" t="s">
        <v>8</v>
      </c>
      <c r="M13" s="11" t="s">
        <v>9</v>
      </c>
      <c r="O13" s="49" t="s">
        <v>2</v>
      </c>
      <c r="P13" s="50" t="s">
        <v>5</v>
      </c>
      <c r="Q13" s="51" t="s">
        <v>6</v>
      </c>
      <c r="R13" s="52" t="s">
        <v>7</v>
      </c>
      <c r="S13" s="53" t="s">
        <v>8</v>
      </c>
      <c r="T13" s="53" t="s">
        <v>9</v>
      </c>
      <c r="V13" s="10" t="s">
        <v>2</v>
      </c>
      <c r="W13" s="6" t="s">
        <v>5</v>
      </c>
      <c r="X13" s="7" t="s">
        <v>6</v>
      </c>
      <c r="Y13" s="8" t="s">
        <v>7</v>
      </c>
      <c r="Z13" s="11" t="s">
        <v>8</v>
      </c>
      <c r="AA13" s="11" t="s">
        <v>9</v>
      </c>
      <c r="AC13" s="10" t="s">
        <v>2</v>
      </c>
      <c r="AD13" s="6" t="s">
        <v>5</v>
      </c>
      <c r="AE13" s="7" t="s">
        <v>6</v>
      </c>
      <c r="AF13" s="8" t="s">
        <v>7</v>
      </c>
      <c r="AG13" s="11" t="s">
        <v>8</v>
      </c>
      <c r="AH13" s="11" t="s">
        <v>9</v>
      </c>
      <c r="AJ13" s="98" t="s">
        <v>39</v>
      </c>
    </row>
    <row r="14" spans="1:36" x14ac:dyDescent="0.25">
      <c r="A14" s="15">
        <v>45078</v>
      </c>
      <c r="B14" s="16">
        <v>17200</v>
      </c>
      <c r="C14" s="29">
        <v>17379</v>
      </c>
      <c r="D14" s="35">
        <f>B14+C14</f>
        <v>34579</v>
      </c>
      <c r="E14" s="35">
        <f>D14</f>
        <v>34579</v>
      </c>
      <c r="F14" s="35">
        <f>E14</f>
        <v>34579</v>
      </c>
      <c r="H14" s="15">
        <v>45078</v>
      </c>
      <c r="I14" s="16">
        <v>17200</v>
      </c>
      <c r="J14" s="29">
        <v>17379</v>
      </c>
      <c r="K14" s="35">
        <f>I14+J14</f>
        <v>34579</v>
      </c>
      <c r="L14" s="35">
        <f>K14</f>
        <v>34579</v>
      </c>
      <c r="M14" s="35">
        <f>L14</f>
        <v>34579</v>
      </c>
      <c r="O14" s="15">
        <v>45078</v>
      </c>
      <c r="P14" s="79"/>
      <c r="Q14" s="79"/>
      <c r="R14" s="80"/>
      <c r="S14" s="60"/>
      <c r="T14" s="60"/>
      <c r="V14" s="15">
        <v>45078</v>
      </c>
      <c r="W14" s="17"/>
      <c r="X14" s="17"/>
      <c r="Y14" s="81"/>
      <c r="Z14" s="82"/>
      <c r="AA14" s="82"/>
      <c r="AC14" s="15">
        <v>45078</v>
      </c>
      <c r="AD14" s="79"/>
      <c r="AE14" s="79"/>
      <c r="AF14" s="80"/>
      <c r="AG14" s="60"/>
      <c r="AH14" s="60"/>
      <c r="AJ14" s="2">
        <f t="shared" ref="AJ14:AJ37" si="0">E14+L14+S14+Z14+AG14</f>
        <v>69158</v>
      </c>
    </row>
    <row r="15" spans="1:36" x14ac:dyDescent="0.25">
      <c r="A15" s="19">
        <v>45261</v>
      </c>
      <c r="B15" s="20">
        <v>99000</v>
      </c>
      <c r="C15" s="26">
        <v>99250</v>
      </c>
      <c r="D15" s="32">
        <f t="shared" ref="D15:D33" si="1">B15+C15</f>
        <v>198250</v>
      </c>
      <c r="E15" s="32"/>
      <c r="F15" s="32"/>
      <c r="H15" s="19">
        <v>45261</v>
      </c>
      <c r="I15" s="20">
        <v>99000</v>
      </c>
      <c r="J15" s="26">
        <v>99250</v>
      </c>
      <c r="K15" s="32">
        <f t="shared" ref="K15:K33" si="2">I15+J15</f>
        <v>198250</v>
      </c>
      <c r="L15" s="32"/>
      <c r="M15" s="32"/>
      <c r="O15" s="19">
        <v>45261</v>
      </c>
      <c r="P15" s="24"/>
      <c r="Q15" s="24"/>
      <c r="R15" s="70"/>
      <c r="S15" s="39"/>
      <c r="T15" s="39"/>
      <c r="V15" s="19">
        <v>45261</v>
      </c>
      <c r="W15" s="24"/>
      <c r="X15" s="24"/>
      <c r="Y15" s="70"/>
      <c r="Z15" s="39"/>
      <c r="AA15" s="39"/>
      <c r="AC15" s="19">
        <v>45261</v>
      </c>
      <c r="AD15" s="24"/>
      <c r="AE15" s="24"/>
      <c r="AF15" s="70"/>
      <c r="AG15" s="39"/>
      <c r="AH15" s="39"/>
      <c r="AJ15" s="2"/>
    </row>
    <row r="16" spans="1:36" x14ac:dyDescent="0.25">
      <c r="A16" s="21">
        <v>45444</v>
      </c>
      <c r="B16" s="22">
        <v>22125</v>
      </c>
      <c r="C16" s="27">
        <v>22375</v>
      </c>
      <c r="D16" s="33">
        <f t="shared" si="1"/>
        <v>44500</v>
      </c>
      <c r="E16" s="33">
        <f>D15+D16</f>
        <v>242750</v>
      </c>
      <c r="F16" s="37"/>
      <c r="H16" s="21">
        <v>45444</v>
      </c>
      <c r="I16" s="22">
        <v>22125</v>
      </c>
      <c r="J16" s="27">
        <v>22375</v>
      </c>
      <c r="K16" s="33">
        <f t="shared" si="2"/>
        <v>44500</v>
      </c>
      <c r="L16" s="33">
        <f>K15+K16</f>
        <v>242750</v>
      </c>
      <c r="M16" s="37"/>
      <c r="O16" s="21">
        <v>45444</v>
      </c>
      <c r="P16" s="22">
        <v>17200</v>
      </c>
      <c r="Q16" s="22">
        <v>17379</v>
      </c>
      <c r="R16" s="71">
        <f>P16+Q16</f>
        <v>34579</v>
      </c>
      <c r="S16" s="33">
        <f>R16</f>
        <v>34579</v>
      </c>
      <c r="T16" s="33"/>
      <c r="V16" s="21">
        <v>45444</v>
      </c>
      <c r="W16" s="22">
        <v>17200</v>
      </c>
      <c r="X16" s="22">
        <v>17379</v>
      </c>
      <c r="Y16" s="71">
        <f>W16+X16</f>
        <v>34579</v>
      </c>
      <c r="Z16" s="33">
        <f>Y16</f>
        <v>34579</v>
      </c>
      <c r="AA16" s="33"/>
      <c r="AC16" s="21">
        <v>45444</v>
      </c>
      <c r="AD16" s="23"/>
      <c r="AE16" s="23"/>
      <c r="AF16" s="76"/>
      <c r="AG16" s="37"/>
      <c r="AH16" s="37"/>
      <c r="AJ16" s="2">
        <f t="shared" si="0"/>
        <v>554658</v>
      </c>
    </row>
    <row r="17" spans="1:36" x14ac:dyDescent="0.25">
      <c r="A17" s="13">
        <v>45627</v>
      </c>
      <c r="B17" s="14">
        <v>102125</v>
      </c>
      <c r="C17" s="28">
        <v>102375</v>
      </c>
      <c r="D17" s="34">
        <f t="shared" si="1"/>
        <v>204500</v>
      </c>
      <c r="E17" s="34"/>
      <c r="F17" s="38"/>
      <c r="H17" s="13">
        <v>45627</v>
      </c>
      <c r="I17" s="14">
        <v>102125</v>
      </c>
      <c r="J17" s="28">
        <v>102375</v>
      </c>
      <c r="K17" s="34">
        <f t="shared" si="2"/>
        <v>204500</v>
      </c>
      <c r="L17" s="34"/>
      <c r="M17" s="38"/>
      <c r="O17" s="55">
        <v>45627</v>
      </c>
      <c r="P17" s="58">
        <v>99000</v>
      </c>
      <c r="Q17" s="58">
        <v>99250</v>
      </c>
      <c r="R17" s="72">
        <f t="shared" ref="R17:R35" si="3">P17+Q17</f>
        <v>198250</v>
      </c>
      <c r="S17" s="59"/>
      <c r="T17" s="59"/>
      <c r="V17" s="55">
        <v>45627</v>
      </c>
      <c r="W17" s="58">
        <v>99000</v>
      </c>
      <c r="X17" s="58">
        <v>99250</v>
      </c>
      <c r="Y17" s="72">
        <f t="shared" ref="Y17:Y35" si="4">W17+X17</f>
        <v>198250</v>
      </c>
      <c r="Z17" s="59"/>
      <c r="AA17" s="59"/>
      <c r="AC17" s="55">
        <v>45627</v>
      </c>
      <c r="AD17" s="77"/>
      <c r="AE17" s="77"/>
      <c r="AF17" s="78"/>
      <c r="AG17" s="61"/>
      <c r="AH17" s="61"/>
      <c r="AJ17" s="2"/>
    </row>
    <row r="18" spans="1:36" x14ac:dyDescent="0.25">
      <c r="A18" s="15">
        <v>45809</v>
      </c>
      <c r="B18" s="16">
        <v>20125</v>
      </c>
      <c r="C18" s="29">
        <v>20375</v>
      </c>
      <c r="D18" s="35">
        <f t="shared" si="1"/>
        <v>40500</v>
      </c>
      <c r="E18" s="35">
        <f>D17+D18</f>
        <v>245000</v>
      </c>
      <c r="F18" s="35">
        <f>E16+E18</f>
        <v>487750</v>
      </c>
      <c r="H18" s="15">
        <v>45809</v>
      </c>
      <c r="I18" s="16">
        <v>20125</v>
      </c>
      <c r="J18" s="29">
        <v>20375</v>
      </c>
      <c r="K18" s="35">
        <f t="shared" si="2"/>
        <v>40500</v>
      </c>
      <c r="L18" s="35">
        <f>K17+K18</f>
        <v>245000</v>
      </c>
      <c r="M18" s="35">
        <f>L16+L18</f>
        <v>487750</v>
      </c>
      <c r="O18" s="54">
        <v>45809</v>
      </c>
      <c r="P18" s="56">
        <v>22125</v>
      </c>
      <c r="Q18" s="56">
        <v>22375</v>
      </c>
      <c r="R18" s="73">
        <f t="shared" si="3"/>
        <v>44500</v>
      </c>
      <c r="S18" s="57">
        <f>R17+R18</f>
        <v>242750</v>
      </c>
      <c r="T18" s="57">
        <f>S16+S18</f>
        <v>277329</v>
      </c>
      <c r="V18" s="54">
        <v>45809</v>
      </c>
      <c r="W18" s="56">
        <v>22125</v>
      </c>
      <c r="X18" s="56">
        <v>22375</v>
      </c>
      <c r="Y18" s="73">
        <f t="shared" si="4"/>
        <v>44500</v>
      </c>
      <c r="Z18" s="57">
        <f>Y17+Y18</f>
        <v>242750</v>
      </c>
      <c r="AA18" s="57">
        <f>Z16+Z18</f>
        <v>277329</v>
      </c>
      <c r="AC18" s="54">
        <v>45809</v>
      </c>
      <c r="AD18" s="56">
        <v>17200</v>
      </c>
      <c r="AE18" s="56">
        <v>17379</v>
      </c>
      <c r="AF18" s="73">
        <f>AD18+AE18</f>
        <v>34579</v>
      </c>
      <c r="AG18" s="57">
        <f>AF18</f>
        <v>34579</v>
      </c>
      <c r="AH18" s="57">
        <f>AG18</f>
        <v>34579</v>
      </c>
      <c r="AJ18" s="2">
        <f t="shared" si="0"/>
        <v>1010079</v>
      </c>
    </row>
    <row r="19" spans="1:36" x14ac:dyDescent="0.25">
      <c r="A19" s="19">
        <v>45992</v>
      </c>
      <c r="B19" s="20">
        <v>105125</v>
      </c>
      <c r="C19" s="26">
        <v>105375</v>
      </c>
      <c r="D19" s="32">
        <f t="shared" si="1"/>
        <v>210500</v>
      </c>
      <c r="E19" s="32"/>
      <c r="F19" s="32"/>
      <c r="H19" s="19">
        <v>45992</v>
      </c>
      <c r="I19" s="20">
        <v>105125</v>
      </c>
      <c r="J19" s="26">
        <v>105375</v>
      </c>
      <c r="K19" s="32">
        <f t="shared" si="2"/>
        <v>210500</v>
      </c>
      <c r="L19" s="32"/>
      <c r="M19" s="32"/>
      <c r="O19" s="19">
        <v>45992</v>
      </c>
      <c r="P19" s="20">
        <v>102125</v>
      </c>
      <c r="Q19" s="20">
        <v>102375</v>
      </c>
      <c r="R19" s="74">
        <f t="shared" si="3"/>
        <v>204500</v>
      </c>
      <c r="S19" s="32"/>
      <c r="T19" s="39"/>
      <c r="V19" s="19">
        <v>45992</v>
      </c>
      <c r="W19" s="20">
        <v>102125</v>
      </c>
      <c r="X19" s="20">
        <v>102375</v>
      </c>
      <c r="Y19" s="74">
        <f t="shared" si="4"/>
        <v>204500</v>
      </c>
      <c r="Z19" s="32"/>
      <c r="AA19" s="39"/>
      <c r="AC19" s="19">
        <v>45992</v>
      </c>
      <c r="AD19" s="20">
        <v>99000</v>
      </c>
      <c r="AE19" s="20">
        <v>99250</v>
      </c>
      <c r="AF19" s="74">
        <f t="shared" ref="AF19:AF37" si="5">AD19+AE19</f>
        <v>198250</v>
      </c>
      <c r="AG19" s="32"/>
      <c r="AH19" s="32"/>
      <c r="AJ19" s="2"/>
    </row>
    <row r="20" spans="1:36" x14ac:dyDescent="0.25">
      <c r="A20" s="21">
        <v>46174</v>
      </c>
      <c r="B20" s="22">
        <v>18000</v>
      </c>
      <c r="C20" s="27">
        <v>18250</v>
      </c>
      <c r="D20" s="33">
        <f t="shared" si="1"/>
        <v>36250</v>
      </c>
      <c r="E20" s="33">
        <f>D19+D20</f>
        <v>246750</v>
      </c>
      <c r="F20" s="37"/>
      <c r="H20" s="21">
        <v>46174</v>
      </c>
      <c r="I20" s="22">
        <v>18000</v>
      </c>
      <c r="J20" s="27">
        <v>18250</v>
      </c>
      <c r="K20" s="33">
        <f t="shared" si="2"/>
        <v>36250</v>
      </c>
      <c r="L20" s="33">
        <f>K19+K20</f>
        <v>246750</v>
      </c>
      <c r="M20" s="37"/>
      <c r="O20" s="21">
        <v>46174</v>
      </c>
      <c r="P20" s="22">
        <v>20125</v>
      </c>
      <c r="Q20" s="22">
        <v>20375</v>
      </c>
      <c r="R20" s="71">
        <f t="shared" si="3"/>
        <v>40500</v>
      </c>
      <c r="S20" s="33">
        <f>R19+R20</f>
        <v>245000</v>
      </c>
      <c r="T20" s="33"/>
      <c r="V20" s="21">
        <v>46174</v>
      </c>
      <c r="W20" s="22">
        <v>20125</v>
      </c>
      <c r="X20" s="22">
        <v>20375</v>
      </c>
      <c r="Y20" s="71">
        <f t="shared" si="4"/>
        <v>40500</v>
      </c>
      <c r="Z20" s="33">
        <f>Y19+Y20</f>
        <v>245000</v>
      </c>
      <c r="AA20" s="33"/>
      <c r="AC20" s="21">
        <v>46174</v>
      </c>
      <c r="AD20" s="22">
        <v>22125</v>
      </c>
      <c r="AE20" s="22">
        <v>22375</v>
      </c>
      <c r="AF20" s="71">
        <f t="shared" si="5"/>
        <v>44500</v>
      </c>
      <c r="AG20" s="33">
        <f>AF19+AF20</f>
        <v>242750</v>
      </c>
      <c r="AH20" s="37"/>
      <c r="AJ20" s="2">
        <f t="shared" si="0"/>
        <v>1226250</v>
      </c>
    </row>
    <row r="21" spans="1:36" x14ac:dyDescent="0.25">
      <c r="A21" s="13">
        <v>46357</v>
      </c>
      <c r="B21" s="14">
        <v>108000</v>
      </c>
      <c r="C21" s="28">
        <v>108250</v>
      </c>
      <c r="D21" s="34">
        <f t="shared" si="1"/>
        <v>216250</v>
      </c>
      <c r="E21" s="34"/>
      <c r="F21" s="38"/>
      <c r="H21" s="13">
        <v>46357</v>
      </c>
      <c r="I21" s="14">
        <v>108000</v>
      </c>
      <c r="J21" s="28">
        <v>108250</v>
      </c>
      <c r="K21" s="34">
        <f t="shared" si="2"/>
        <v>216250</v>
      </c>
      <c r="L21" s="34"/>
      <c r="M21" s="38"/>
      <c r="O21" s="55">
        <v>46357</v>
      </c>
      <c r="P21" s="58">
        <v>105125</v>
      </c>
      <c r="Q21" s="58">
        <v>105375</v>
      </c>
      <c r="R21" s="72">
        <f t="shared" si="3"/>
        <v>210500</v>
      </c>
      <c r="S21" s="59"/>
      <c r="T21" s="59"/>
      <c r="V21" s="55">
        <v>46357</v>
      </c>
      <c r="W21" s="58">
        <v>105125</v>
      </c>
      <c r="X21" s="58">
        <v>105375</v>
      </c>
      <c r="Y21" s="72">
        <f t="shared" si="4"/>
        <v>210500</v>
      </c>
      <c r="Z21" s="59"/>
      <c r="AA21" s="59"/>
      <c r="AC21" s="55">
        <v>46357</v>
      </c>
      <c r="AD21" s="58">
        <v>102125</v>
      </c>
      <c r="AE21" s="58">
        <v>102375</v>
      </c>
      <c r="AF21" s="72">
        <f t="shared" si="5"/>
        <v>204500</v>
      </c>
      <c r="AG21" s="59"/>
      <c r="AH21" s="61"/>
      <c r="AJ21" s="2"/>
    </row>
    <row r="22" spans="1:36" x14ac:dyDescent="0.25">
      <c r="A22" s="15">
        <v>46539</v>
      </c>
      <c r="B22" s="16">
        <v>15750</v>
      </c>
      <c r="C22" s="29">
        <v>16000</v>
      </c>
      <c r="D22" s="35">
        <f t="shared" si="1"/>
        <v>31750</v>
      </c>
      <c r="E22" s="35">
        <f>D21+D22</f>
        <v>248000</v>
      </c>
      <c r="F22" s="35">
        <f>E20+E22</f>
        <v>494750</v>
      </c>
      <c r="H22" s="15">
        <v>46539</v>
      </c>
      <c r="I22" s="16">
        <v>15750</v>
      </c>
      <c r="J22" s="29">
        <v>16000</v>
      </c>
      <c r="K22" s="35">
        <f t="shared" si="2"/>
        <v>31750</v>
      </c>
      <c r="L22" s="35">
        <f>K21+K22</f>
        <v>248000</v>
      </c>
      <c r="M22" s="35">
        <f>L20+L22</f>
        <v>494750</v>
      </c>
      <c r="O22" s="54">
        <v>46539</v>
      </c>
      <c r="P22" s="56">
        <v>18000</v>
      </c>
      <c r="Q22" s="56">
        <v>18250</v>
      </c>
      <c r="R22" s="73">
        <f t="shared" si="3"/>
        <v>36250</v>
      </c>
      <c r="S22" s="57">
        <f>R21+R22</f>
        <v>246750</v>
      </c>
      <c r="T22" s="57">
        <f>S20+S22</f>
        <v>491750</v>
      </c>
      <c r="V22" s="54">
        <v>46539</v>
      </c>
      <c r="W22" s="56">
        <v>18000</v>
      </c>
      <c r="X22" s="56">
        <v>18250</v>
      </c>
      <c r="Y22" s="73">
        <f t="shared" si="4"/>
        <v>36250</v>
      </c>
      <c r="Z22" s="57">
        <f>Y21+Y22</f>
        <v>246750</v>
      </c>
      <c r="AA22" s="57">
        <f>Z20+Z22</f>
        <v>491750</v>
      </c>
      <c r="AC22" s="54">
        <v>46539</v>
      </c>
      <c r="AD22" s="56">
        <v>20125</v>
      </c>
      <c r="AE22" s="56">
        <v>20375</v>
      </c>
      <c r="AF22" s="73">
        <f t="shared" si="5"/>
        <v>40500</v>
      </c>
      <c r="AG22" s="57">
        <f>AF21+AF22</f>
        <v>245000</v>
      </c>
      <c r="AH22" s="57">
        <f>AG20+AG22</f>
        <v>487750</v>
      </c>
      <c r="AJ22" s="2">
        <f t="shared" si="0"/>
        <v>1234500</v>
      </c>
    </row>
    <row r="23" spans="1:36" x14ac:dyDescent="0.25">
      <c r="A23" s="19">
        <v>46722</v>
      </c>
      <c r="B23" s="20">
        <v>110750</v>
      </c>
      <c r="C23" s="26">
        <v>111000</v>
      </c>
      <c r="D23" s="32">
        <f t="shared" si="1"/>
        <v>221750</v>
      </c>
      <c r="E23" s="32"/>
      <c r="F23" s="32"/>
      <c r="H23" s="19">
        <v>46722</v>
      </c>
      <c r="I23" s="20">
        <v>110750</v>
      </c>
      <c r="J23" s="26">
        <v>111000</v>
      </c>
      <c r="K23" s="32">
        <f t="shared" si="2"/>
        <v>221750</v>
      </c>
      <c r="L23" s="32"/>
      <c r="M23" s="32"/>
      <c r="O23" s="19">
        <v>46722</v>
      </c>
      <c r="P23" s="20">
        <v>108000</v>
      </c>
      <c r="Q23" s="20">
        <v>108250</v>
      </c>
      <c r="R23" s="74">
        <f t="shared" si="3"/>
        <v>216250</v>
      </c>
      <c r="S23" s="32"/>
      <c r="T23" s="39"/>
      <c r="V23" s="19">
        <v>46722</v>
      </c>
      <c r="W23" s="20">
        <v>108000</v>
      </c>
      <c r="X23" s="20">
        <v>108250</v>
      </c>
      <c r="Y23" s="74">
        <f t="shared" si="4"/>
        <v>216250</v>
      </c>
      <c r="Z23" s="32"/>
      <c r="AA23" s="39"/>
      <c r="AC23" s="19">
        <v>46722</v>
      </c>
      <c r="AD23" s="20">
        <v>105125</v>
      </c>
      <c r="AE23" s="20">
        <v>105375</v>
      </c>
      <c r="AF23" s="74">
        <f t="shared" si="5"/>
        <v>210500</v>
      </c>
      <c r="AG23" s="32"/>
      <c r="AH23" s="32"/>
      <c r="AJ23" s="2"/>
    </row>
    <row r="24" spans="1:36" x14ac:dyDescent="0.25">
      <c r="A24" s="21">
        <v>46905</v>
      </c>
      <c r="B24" s="22">
        <v>13375</v>
      </c>
      <c r="C24" s="27">
        <v>13625</v>
      </c>
      <c r="D24" s="33">
        <f t="shared" si="1"/>
        <v>27000</v>
      </c>
      <c r="E24" s="33">
        <f>D23+D24</f>
        <v>248750</v>
      </c>
      <c r="F24" s="37"/>
      <c r="H24" s="21">
        <v>46905</v>
      </c>
      <c r="I24" s="22">
        <v>13375</v>
      </c>
      <c r="J24" s="27">
        <v>13625</v>
      </c>
      <c r="K24" s="33">
        <f t="shared" si="2"/>
        <v>27000</v>
      </c>
      <c r="L24" s="33">
        <f>K23+K24</f>
        <v>248750</v>
      </c>
      <c r="M24" s="37"/>
      <c r="O24" s="21">
        <v>46905</v>
      </c>
      <c r="P24" s="22">
        <v>15750</v>
      </c>
      <c r="Q24" s="22">
        <v>16000</v>
      </c>
      <c r="R24" s="71">
        <f t="shared" si="3"/>
        <v>31750</v>
      </c>
      <c r="S24" s="33">
        <f>R23+R24</f>
        <v>248000</v>
      </c>
      <c r="T24" s="33"/>
      <c r="V24" s="21">
        <v>46905</v>
      </c>
      <c r="W24" s="22">
        <v>15750</v>
      </c>
      <c r="X24" s="22">
        <v>16000</v>
      </c>
      <c r="Y24" s="71">
        <f t="shared" si="4"/>
        <v>31750</v>
      </c>
      <c r="Z24" s="33">
        <f>Y23+Y24</f>
        <v>248000</v>
      </c>
      <c r="AA24" s="33"/>
      <c r="AC24" s="21">
        <v>46905</v>
      </c>
      <c r="AD24" s="22">
        <v>18000</v>
      </c>
      <c r="AE24" s="22">
        <v>18250</v>
      </c>
      <c r="AF24" s="71">
        <f t="shared" si="5"/>
        <v>36250</v>
      </c>
      <c r="AG24" s="33">
        <f>AF23+AF24</f>
        <v>246750</v>
      </c>
      <c r="AH24" s="37"/>
      <c r="AJ24" s="2">
        <f t="shared" si="0"/>
        <v>1240250</v>
      </c>
    </row>
    <row r="25" spans="1:36" x14ac:dyDescent="0.25">
      <c r="A25" s="13">
        <v>47088</v>
      </c>
      <c r="B25" s="14">
        <v>108375</v>
      </c>
      <c r="C25" s="28">
        <v>113625</v>
      </c>
      <c r="D25" s="34">
        <f t="shared" si="1"/>
        <v>222000</v>
      </c>
      <c r="E25" s="34"/>
      <c r="F25" s="38"/>
      <c r="H25" s="13">
        <v>47088</v>
      </c>
      <c r="I25" s="14">
        <v>108375</v>
      </c>
      <c r="J25" s="28">
        <v>113625</v>
      </c>
      <c r="K25" s="34">
        <f t="shared" si="2"/>
        <v>222000</v>
      </c>
      <c r="L25" s="34"/>
      <c r="M25" s="38"/>
      <c r="O25" s="55">
        <v>47088</v>
      </c>
      <c r="P25" s="58">
        <v>110750</v>
      </c>
      <c r="Q25" s="58">
        <v>111000</v>
      </c>
      <c r="R25" s="72">
        <f t="shared" si="3"/>
        <v>221750</v>
      </c>
      <c r="S25" s="59"/>
      <c r="T25" s="59"/>
      <c r="V25" s="55">
        <v>47088</v>
      </c>
      <c r="W25" s="58">
        <v>110750</v>
      </c>
      <c r="X25" s="58">
        <v>111000</v>
      </c>
      <c r="Y25" s="72">
        <f t="shared" si="4"/>
        <v>221750</v>
      </c>
      <c r="Z25" s="59"/>
      <c r="AA25" s="59"/>
      <c r="AC25" s="55">
        <v>47088</v>
      </c>
      <c r="AD25" s="58">
        <v>108000</v>
      </c>
      <c r="AE25" s="58">
        <v>108250</v>
      </c>
      <c r="AF25" s="72">
        <f t="shared" si="5"/>
        <v>216250</v>
      </c>
      <c r="AG25" s="59"/>
      <c r="AH25" s="61"/>
      <c r="AJ25" s="2"/>
    </row>
    <row r="26" spans="1:36" x14ac:dyDescent="0.25">
      <c r="A26" s="15">
        <v>47270</v>
      </c>
      <c r="B26" s="16">
        <v>11000</v>
      </c>
      <c r="C26" s="29">
        <v>11125</v>
      </c>
      <c r="D26" s="35">
        <f t="shared" si="1"/>
        <v>22125</v>
      </c>
      <c r="E26" s="35">
        <f>D25+D26</f>
        <v>244125</v>
      </c>
      <c r="F26" s="35">
        <f>E24+E26</f>
        <v>492875</v>
      </c>
      <c r="H26" s="15">
        <v>47270</v>
      </c>
      <c r="I26" s="16">
        <v>11000</v>
      </c>
      <c r="J26" s="29">
        <v>11125</v>
      </c>
      <c r="K26" s="35">
        <f t="shared" si="2"/>
        <v>22125</v>
      </c>
      <c r="L26" s="35">
        <f>K25+K26</f>
        <v>244125</v>
      </c>
      <c r="M26" s="35">
        <f>L24+L26</f>
        <v>492875</v>
      </c>
      <c r="O26" s="54">
        <v>47270</v>
      </c>
      <c r="P26" s="56">
        <v>13375</v>
      </c>
      <c r="Q26" s="56">
        <v>13625</v>
      </c>
      <c r="R26" s="73">
        <f t="shared" si="3"/>
        <v>27000</v>
      </c>
      <c r="S26" s="57">
        <f>R25+R26</f>
        <v>248750</v>
      </c>
      <c r="T26" s="57">
        <f>S24+S26</f>
        <v>496750</v>
      </c>
      <c r="V26" s="54">
        <v>47270</v>
      </c>
      <c r="W26" s="56">
        <v>13375</v>
      </c>
      <c r="X26" s="56">
        <v>13625</v>
      </c>
      <c r="Y26" s="73">
        <f t="shared" si="4"/>
        <v>27000</v>
      </c>
      <c r="Z26" s="57">
        <f>Y25+Y26</f>
        <v>248750</v>
      </c>
      <c r="AA26" s="57">
        <f>Z24+Z26</f>
        <v>496750</v>
      </c>
      <c r="AC26" s="54">
        <v>47270</v>
      </c>
      <c r="AD26" s="56">
        <v>15750</v>
      </c>
      <c r="AE26" s="56">
        <v>16000</v>
      </c>
      <c r="AF26" s="73">
        <f t="shared" si="5"/>
        <v>31750</v>
      </c>
      <c r="AG26" s="57">
        <f>AF25+AF26</f>
        <v>248000</v>
      </c>
      <c r="AH26" s="57">
        <f>AG24+AG26</f>
        <v>494750</v>
      </c>
      <c r="AJ26" s="2">
        <f t="shared" si="0"/>
        <v>1233750</v>
      </c>
    </row>
    <row r="27" spans="1:36" x14ac:dyDescent="0.25">
      <c r="A27" s="19">
        <v>47453</v>
      </c>
      <c r="B27" s="20">
        <v>111000</v>
      </c>
      <c r="C27" s="26">
        <v>111125</v>
      </c>
      <c r="D27" s="32">
        <f t="shared" si="1"/>
        <v>222125</v>
      </c>
      <c r="E27" s="32"/>
      <c r="F27" s="39"/>
      <c r="H27" s="19">
        <v>47453</v>
      </c>
      <c r="I27" s="20">
        <v>111000</v>
      </c>
      <c r="J27" s="26">
        <v>111125</v>
      </c>
      <c r="K27" s="32">
        <f t="shared" si="2"/>
        <v>222125</v>
      </c>
      <c r="L27" s="32"/>
      <c r="M27" s="39"/>
      <c r="O27" s="19">
        <v>47453</v>
      </c>
      <c r="P27" s="20">
        <v>108375</v>
      </c>
      <c r="Q27" s="20">
        <v>113625</v>
      </c>
      <c r="R27" s="74">
        <f t="shared" si="3"/>
        <v>222000</v>
      </c>
      <c r="S27" s="32"/>
      <c r="T27" s="39"/>
      <c r="V27" s="19">
        <v>47453</v>
      </c>
      <c r="W27" s="20">
        <v>108375</v>
      </c>
      <c r="X27" s="20">
        <v>113625</v>
      </c>
      <c r="Y27" s="74">
        <f t="shared" si="4"/>
        <v>222000</v>
      </c>
      <c r="Z27" s="32"/>
      <c r="AA27" s="39"/>
      <c r="AC27" s="19">
        <v>47453</v>
      </c>
      <c r="AD27" s="20">
        <v>110750</v>
      </c>
      <c r="AE27" s="20">
        <v>111000</v>
      </c>
      <c r="AF27" s="74">
        <f t="shared" si="5"/>
        <v>221750</v>
      </c>
      <c r="AG27" s="32"/>
      <c r="AH27" s="32"/>
      <c r="AJ27" s="2"/>
    </row>
    <row r="28" spans="1:36" x14ac:dyDescent="0.25">
      <c r="A28" s="21">
        <v>47635</v>
      </c>
      <c r="B28" s="22">
        <v>8500</v>
      </c>
      <c r="C28" s="27">
        <v>8625</v>
      </c>
      <c r="D28" s="33">
        <f t="shared" si="1"/>
        <v>17125</v>
      </c>
      <c r="E28" s="33">
        <f>D27+D28</f>
        <v>239250</v>
      </c>
      <c r="F28" s="37"/>
      <c r="H28" s="21">
        <v>47635</v>
      </c>
      <c r="I28" s="22">
        <v>8500</v>
      </c>
      <c r="J28" s="27">
        <v>8625</v>
      </c>
      <c r="K28" s="33">
        <f t="shared" si="2"/>
        <v>17125</v>
      </c>
      <c r="L28" s="33">
        <f>K27+K28</f>
        <v>239250</v>
      </c>
      <c r="M28" s="37"/>
      <c r="O28" s="21">
        <v>47635</v>
      </c>
      <c r="P28" s="22">
        <v>11000</v>
      </c>
      <c r="Q28" s="22">
        <v>11125</v>
      </c>
      <c r="R28" s="71">
        <f t="shared" si="3"/>
        <v>22125</v>
      </c>
      <c r="S28" s="33">
        <f>R27+R28</f>
        <v>244125</v>
      </c>
      <c r="T28" s="33"/>
      <c r="V28" s="21">
        <v>47635</v>
      </c>
      <c r="W28" s="22">
        <v>11000</v>
      </c>
      <c r="X28" s="22">
        <v>11125</v>
      </c>
      <c r="Y28" s="71">
        <f t="shared" si="4"/>
        <v>22125</v>
      </c>
      <c r="Z28" s="33">
        <f>Y27+Y28</f>
        <v>244125</v>
      </c>
      <c r="AA28" s="33"/>
      <c r="AC28" s="21">
        <v>47635</v>
      </c>
      <c r="AD28" s="22">
        <v>13375</v>
      </c>
      <c r="AE28" s="22">
        <v>13625</v>
      </c>
      <c r="AF28" s="71">
        <f t="shared" si="5"/>
        <v>27000</v>
      </c>
      <c r="AG28" s="33">
        <f>AF27+AF28</f>
        <v>248750</v>
      </c>
      <c r="AH28" s="37"/>
      <c r="AJ28" s="2">
        <f t="shared" si="0"/>
        <v>1215500</v>
      </c>
    </row>
    <row r="29" spans="1:36" x14ac:dyDescent="0.25">
      <c r="A29" s="13">
        <v>47818</v>
      </c>
      <c r="B29" s="14">
        <v>113500</v>
      </c>
      <c r="C29" s="28">
        <v>118625</v>
      </c>
      <c r="D29" s="34">
        <f t="shared" si="1"/>
        <v>232125</v>
      </c>
      <c r="E29" s="34"/>
      <c r="F29" s="38"/>
      <c r="H29" s="13">
        <v>47818</v>
      </c>
      <c r="I29" s="14">
        <v>113500</v>
      </c>
      <c r="J29" s="28">
        <v>118625</v>
      </c>
      <c r="K29" s="34">
        <f t="shared" si="2"/>
        <v>232125</v>
      </c>
      <c r="L29" s="34"/>
      <c r="M29" s="38"/>
      <c r="O29" s="55">
        <v>47818</v>
      </c>
      <c r="P29" s="58">
        <v>111000</v>
      </c>
      <c r="Q29" s="58">
        <v>111125</v>
      </c>
      <c r="R29" s="72">
        <f t="shared" si="3"/>
        <v>222125</v>
      </c>
      <c r="S29" s="59"/>
      <c r="T29" s="61"/>
      <c r="V29" s="55">
        <v>47818</v>
      </c>
      <c r="W29" s="58">
        <v>111000</v>
      </c>
      <c r="X29" s="58">
        <v>111125</v>
      </c>
      <c r="Y29" s="72">
        <f t="shared" si="4"/>
        <v>222125</v>
      </c>
      <c r="Z29" s="59"/>
      <c r="AA29" s="61"/>
      <c r="AC29" s="55">
        <v>47818</v>
      </c>
      <c r="AD29" s="58">
        <v>108375</v>
      </c>
      <c r="AE29" s="58">
        <v>113625</v>
      </c>
      <c r="AF29" s="72">
        <f t="shared" si="5"/>
        <v>222000</v>
      </c>
      <c r="AG29" s="59"/>
      <c r="AH29" s="61"/>
      <c r="AJ29" s="2"/>
    </row>
    <row r="30" spans="1:36" x14ac:dyDescent="0.25">
      <c r="A30" s="15">
        <v>48000</v>
      </c>
      <c r="B30" s="16">
        <v>5875</v>
      </c>
      <c r="C30" s="29">
        <v>5875</v>
      </c>
      <c r="D30" s="35">
        <f t="shared" si="1"/>
        <v>11750</v>
      </c>
      <c r="E30" s="35">
        <f>D29+D30</f>
        <v>243875</v>
      </c>
      <c r="F30" s="35">
        <f>E28+E30</f>
        <v>483125</v>
      </c>
      <c r="H30" s="15">
        <v>48000</v>
      </c>
      <c r="I30" s="16">
        <v>5875</v>
      </c>
      <c r="J30" s="29">
        <v>5875</v>
      </c>
      <c r="K30" s="35">
        <f t="shared" si="2"/>
        <v>11750</v>
      </c>
      <c r="L30" s="35">
        <f>K29+K30</f>
        <v>243875</v>
      </c>
      <c r="M30" s="35">
        <f>L28+L30</f>
        <v>483125</v>
      </c>
      <c r="O30" s="54">
        <v>48000</v>
      </c>
      <c r="P30" s="56">
        <v>8500</v>
      </c>
      <c r="Q30" s="56">
        <v>8625</v>
      </c>
      <c r="R30" s="73">
        <f t="shared" si="3"/>
        <v>17125</v>
      </c>
      <c r="S30" s="57">
        <f>R29+R30</f>
        <v>239250</v>
      </c>
      <c r="T30" s="57">
        <f>S28+S30</f>
        <v>483375</v>
      </c>
      <c r="V30" s="54">
        <v>48000</v>
      </c>
      <c r="W30" s="56">
        <v>8500</v>
      </c>
      <c r="X30" s="56">
        <v>8625</v>
      </c>
      <c r="Y30" s="73">
        <f t="shared" si="4"/>
        <v>17125</v>
      </c>
      <c r="Z30" s="57">
        <f>Y29+Y30</f>
        <v>239250</v>
      </c>
      <c r="AA30" s="57">
        <f>Z28+Z30</f>
        <v>483375</v>
      </c>
      <c r="AC30" s="54">
        <v>48000</v>
      </c>
      <c r="AD30" s="56">
        <v>11000</v>
      </c>
      <c r="AE30" s="56">
        <v>11125</v>
      </c>
      <c r="AF30" s="73">
        <f t="shared" si="5"/>
        <v>22125</v>
      </c>
      <c r="AG30" s="57">
        <f>AF29+AF30</f>
        <v>244125</v>
      </c>
      <c r="AH30" s="57">
        <f>AG28+AG30</f>
        <v>492875</v>
      </c>
      <c r="AJ30" s="2">
        <f t="shared" si="0"/>
        <v>1210375</v>
      </c>
    </row>
    <row r="31" spans="1:36" x14ac:dyDescent="0.25">
      <c r="A31" s="19">
        <v>48183</v>
      </c>
      <c r="B31" s="20">
        <v>120875</v>
      </c>
      <c r="C31" s="26">
        <v>120875</v>
      </c>
      <c r="D31" s="32">
        <f t="shared" si="1"/>
        <v>241750</v>
      </c>
      <c r="E31" s="32"/>
      <c r="F31" s="39"/>
      <c r="H31" s="19">
        <v>48183</v>
      </c>
      <c r="I31" s="20">
        <v>120875</v>
      </c>
      <c r="J31" s="26">
        <v>120875</v>
      </c>
      <c r="K31" s="32">
        <f t="shared" si="2"/>
        <v>241750</v>
      </c>
      <c r="L31" s="32"/>
      <c r="M31" s="39"/>
      <c r="O31" s="19">
        <v>48183</v>
      </c>
      <c r="P31" s="20">
        <v>113500</v>
      </c>
      <c r="Q31" s="20">
        <v>118625</v>
      </c>
      <c r="R31" s="74">
        <f t="shared" si="3"/>
        <v>232125</v>
      </c>
      <c r="S31" s="32"/>
      <c r="T31" s="39"/>
      <c r="V31" s="19">
        <v>48183</v>
      </c>
      <c r="W31" s="20">
        <v>113500</v>
      </c>
      <c r="X31" s="20">
        <v>118625</v>
      </c>
      <c r="Y31" s="74">
        <f t="shared" si="4"/>
        <v>232125</v>
      </c>
      <c r="Z31" s="32"/>
      <c r="AA31" s="39"/>
      <c r="AC31" s="19">
        <v>48183</v>
      </c>
      <c r="AD31" s="20">
        <v>111000</v>
      </c>
      <c r="AE31" s="20">
        <v>111125</v>
      </c>
      <c r="AF31" s="74">
        <f t="shared" si="5"/>
        <v>222125</v>
      </c>
      <c r="AG31" s="32"/>
      <c r="AH31" s="39"/>
      <c r="AJ31" s="2"/>
    </row>
    <row r="32" spans="1:36" x14ac:dyDescent="0.25">
      <c r="A32" s="21">
        <v>48366</v>
      </c>
      <c r="B32" s="22">
        <v>3000</v>
      </c>
      <c r="C32" s="27">
        <v>3000</v>
      </c>
      <c r="D32" s="33">
        <f t="shared" si="1"/>
        <v>6000</v>
      </c>
      <c r="E32" s="33">
        <f>D31+D32</f>
        <v>247750</v>
      </c>
      <c r="F32" s="37"/>
      <c r="H32" s="21">
        <v>48366</v>
      </c>
      <c r="I32" s="22">
        <v>3000</v>
      </c>
      <c r="J32" s="27">
        <v>3000</v>
      </c>
      <c r="K32" s="33">
        <f t="shared" si="2"/>
        <v>6000</v>
      </c>
      <c r="L32" s="33">
        <f>K31+K32</f>
        <v>247750</v>
      </c>
      <c r="M32" s="37"/>
      <c r="O32" s="21">
        <v>48366</v>
      </c>
      <c r="P32" s="22">
        <v>5875</v>
      </c>
      <c r="Q32" s="22">
        <v>5875</v>
      </c>
      <c r="R32" s="71">
        <f t="shared" si="3"/>
        <v>11750</v>
      </c>
      <c r="S32" s="33">
        <f>R31+R32</f>
        <v>243875</v>
      </c>
      <c r="T32" s="33"/>
      <c r="V32" s="21">
        <v>48366</v>
      </c>
      <c r="W32" s="22">
        <v>5875</v>
      </c>
      <c r="X32" s="22">
        <v>5875</v>
      </c>
      <c r="Y32" s="71">
        <f t="shared" si="4"/>
        <v>11750</v>
      </c>
      <c r="Z32" s="33">
        <f>Y31+Y32</f>
        <v>243875</v>
      </c>
      <c r="AA32" s="33"/>
      <c r="AC32" s="21">
        <v>48366</v>
      </c>
      <c r="AD32" s="22">
        <v>8500</v>
      </c>
      <c r="AE32" s="22">
        <v>8625</v>
      </c>
      <c r="AF32" s="71">
        <f t="shared" si="5"/>
        <v>17125</v>
      </c>
      <c r="AG32" s="33">
        <f>AF31+AF32</f>
        <v>239250</v>
      </c>
      <c r="AH32" s="37"/>
      <c r="AJ32" s="2">
        <f t="shared" si="0"/>
        <v>1222500</v>
      </c>
    </row>
    <row r="33" spans="1:36" x14ac:dyDescent="0.25">
      <c r="A33" s="13">
        <v>48549</v>
      </c>
      <c r="B33" s="14">
        <v>123000</v>
      </c>
      <c r="C33" s="28">
        <v>123000</v>
      </c>
      <c r="D33" s="34">
        <f t="shared" si="1"/>
        <v>246000</v>
      </c>
      <c r="E33" s="34"/>
      <c r="F33" s="34"/>
      <c r="H33" s="13">
        <v>48549</v>
      </c>
      <c r="I33" s="14">
        <v>123000</v>
      </c>
      <c r="J33" s="28">
        <v>123000</v>
      </c>
      <c r="K33" s="34">
        <f t="shared" si="2"/>
        <v>246000</v>
      </c>
      <c r="L33" s="83"/>
      <c r="M33" s="34"/>
      <c r="O33" s="55">
        <v>48549</v>
      </c>
      <c r="P33" s="58">
        <v>120875</v>
      </c>
      <c r="Q33" s="58">
        <v>120875</v>
      </c>
      <c r="R33" s="72">
        <f t="shared" si="3"/>
        <v>241750</v>
      </c>
      <c r="S33" s="59"/>
      <c r="T33" s="61"/>
      <c r="V33" s="55">
        <v>48549</v>
      </c>
      <c r="W33" s="58">
        <v>120875</v>
      </c>
      <c r="X33" s="58">
        <v>120875</v>
      </c>
      <c r="Y33" s="72">
        <f t="shared" si="4"/>
        <v>241750</v>
      </c>
      <c r="Z33" s="59"/>
      <c r="AA33" s="61"/>
      <c r="AC33" s="55">
        <v>48549</v>
      </c>
      <c r="AD33" s="58">
        <v>113500</v>
      </c>
      <c r="AE33" s="58">
        <v>118625</v>
      </c>
      <c r="AF33" s="72">
        <f t="shared" si="5"/>
        <v>232125</v>
      </c>
      <c r="AG33" s="59"/>
      <c r="AH33" s="61"/>
      <c r="AJ33" s="2"/>
    </row>
    <row r="34" spans="1:36" ht="15" customHeight="1" x14ac:dyDescent="0.25">
      <c r="A34" s="54">
        <v>48731</v>
      </c>
      <c r="B34" s="56"/>
      <c r="C34" s="56"/>
      <c r="D34" s="73"/>
      <c r="E34" s="57">
        <f>D33+D34</f>
        <v>246000</v>
      </c>
      <c r="F34" s="57">
        <f>E32+E34</f>
        <v>493750</v>
      </c>
      <c r="H34" s="54">
        <v>48731</v>
      </c>
      <c r="I34" s="56"/>
      <c r="J34" s="56"/>
      <c r="K34" s="73"/>
      <c r="L34" s="2">
        <f>K33+K34</f>
        <v>246000</v>
      </c>
      <c r="M34" s="87">
        <f>L32+L34</f>
        <v>493750</v>
      </c>
      <c r="O34" s="54">
        <v>48731</v>
      </c>
      <c r="P34" s="56">
        <v>3000</v>
      </c>
      <c r="Q34" s="56">
        <v>3000</v>
      </c>
      <c r="R34" s="73">
        <f t="shared" si="3"/>
        <v>6000</v>
      </c>
      <c r="S34" s="57">
        <f>R33+R34</f>
        <v>247750</v>
      </c>
      <c r="T34" s="57">
        <f>S32+S34</f>
        <v>491625</v>
      </c>
      <c r="V34" s="54">
        <v>48731</v>
      </c>
      <c r="W34" s="56">
        <v>3000</v>
      </c>
      <c r="X34" s="56">
        <v>3000</v>
      </c>
      <c r="Y34" s="73">
        <f t="shared" si="4"/>
        <v>6000</v>
      </c>
      <c r="Z34" s="57">
        <f>Y33+Y34</f>
        <v>247750</v>
      </c>
      <c r="AA34" s="57">
        <f>Z32+Z34</f>
        <v>491625</v>
      </c>
      <c r="AC34" s="54">
        <v>48731</v>
      </c>
      <c r="AD34" s="56">
        <v>5875</v>
      </c>
      <c r="AE34" s="56">
        <v>5875</v>
      </c>
      <c r="AF34" s="73">
        <f t="shared" si="5"/>
        <v>11750</v>
      </c>
      <c r="AG34" s="57">
        <f>AF33+AF34</f>
        <v>243875</v>
      </c>
      <c r="AH34" s="57">
        <f>AG32+AG34</f>
        <v>483125</v>
      </c>
      <c r="AJ34" s="2">
        <f t="shared" si="0"/>
        <v>1231375</v>
      </c>
    </row>
    <row r="35" spans="1:36" x14ac:dyDescent="0.25">
      <c r="A35" s="19">
        <v>48914</v>
      </c>
      <c r="B35" s="20"/>
      <c r="C35" s="20"/>
      <c r="D35" s="74"/>
      <c r="E35" s="32"/>
      <c r="F35" s="39"/>
      <c r="H35" s="19">
        <v>48914</v>
      </c>
      <c r="I35" s="20"/>
      <c r="J35" s="20"/>
      <c r="K35" s="74"/>
      <c r="L35" s="84"/>
      <c r="M35" s="39"/>
      <c r="O35" s="19">
        <v>48914</v>
      </c>
      <c r="P35" s="20">
        <v>123000</v>
      </c>
      <c r="Q35" s="20">
        <v>123000</v>
      </c>
      <c r="R35" s="30">
        <f t="shared" si="3"/>
        <v>246000</v>
      </c>
      <c r="S35" s="39"/>
      <c r="T35" s="39"/>
      <c r="V35" s="19">
        <v>48914</v>
      </c>
      <c r="W35" s="20">
        <v>123000</v>
      </c>
      <c r="X35" s="20">
        <v>123000</v>
      </c>
      <c r="Y35" s="30">
        <f t="shared" si="4"/>
        <v>246000</v>
      </c>
      <c r="Z35" s="39"/>
      <c r="AA35" s="39"/>
      <c r="AC35" s="19">
        <v>48914</v>
      </c>
      <c r="AD35" s="20">
        <v>120875</v>
      </c>
      <c r="AE35" s="20">
        <v>120875</v>
      </c>
      <c r="AF35" s="74">
        <f t="shared" si="5"/>
        <v>241750</v>
      </c>
      <c r="AG35" s="32"/>
      <c r="AH35" s="39"/>
      <c r="AJ35" s="2"/>
    </row>
    <row r="36" spans="1:36" x14ac:dyDescent="0.25">
      <c r="A36" s="21">
        <v>49096</v>
      </c>
      <c r="B36" s="22"/>
      <c r="C36" s="22"/>
      <c r="D36" s="71"/>
      <c r="E36" s="33"/>
      <c r="F36" s="37"/>
      <c r="H36" s="21">
        <v>49096</v>
      </c>
      <c r="I36" s="22"/>
      <c r="J36" s="22"/>
      <c r="K36" s="71"/>
      <c r="L36" s="85"/>
      <c r="M36" s="37"/>
      <c r="O36" s="21">
        <v>49096</v>
      </c>
      <c r="P36" s="23"/>
      <c r="Q36" s="23"/>
      <c r="R36" s="69"/>
      <c r="S36" s="33">
        <f>R35+R36</f>
        <v>246000</v>
      </c>
      <c r="T36" s="33">
        <f>S36</f>
        <v>246000</v>
      </c>
      <c r="V36" s="21">
        <v>49096</v>
      </c>
      <c r="W36" s="23"/>
      <c r="X36" s="23"/>
      <c r="Y36" s="69"/>
      <c r="Z36" s="33">
        <f>Y35+Y36</f>
        <v>246000</v>
      </c>
      <c r="AA36" s="33">
        <f>Z36</f>
        <v>246000</v>
      </c>
      <c r="AC36" s="21">
        <v>49096</v>
      </c>
      <c r="AD36" s="22">
        <v>3000</v>
      </c>
      <c r="AE36" s="22">
        <v>3000</v>
      </c>
      <c r="AF36" s="71">
        <f t="shared" si="5"/>
        <v>6000</v>
      </c>
      <c r="AG36" s="33">
        <f>AF35+AF36</f>
        <v>247750</v>
      </c>
      <c r="AH36" s="37"/>
      <c r="AJ36" s="2">
        <f t="shared" si="0"/>
        <v>739750</v>
      </c>
    </row>
    <row r="37" spans="1:36" x14ac:dyDescent="0.25">
      <c r="A37" s="55">
        <v>49279</v>
      </c>
      <c r="B37" s="58"/>
      <c r="C37" s="58"/>
      <c r="D37" s="72"/>
      <c r="E37" s="59"/>
      <c r="F37" s="59"/>
      <c r="H37" s="55">
        <v>49279</v>
      </c>
      <c r="I37" s="58"/>
      <c r="J37" s="58"/>
      <c r="K37" s="72"/>
      <c r="L37" s="86"/>
      <c r="M37" s="59"/>
      <c r="O37" s="55">
        <v>49279</v>
      </c>
      <c r="P37" s="88"/>
      <c r="Q37" s="88"/>
      <c r="S37" s="49"/>
      <c r="T37" s="49"/>
      <c r="V37" s="55">
        <v>49279</v>
      </c>
      <c r="W37" s="89"/>
      <c r="X37" s="89"/>
      <c r="Z37" s="10"/>
      <c r="AA37" s="10"/>
      <c r="AC37" s="55">
        <v>49279</v>
      </c>
      <c r="AD37" s="58">
        <v>123000</v>
      </c>
      <c r="AE37" s="58">
        <v>123000</v>
      </c>
      <c r="AF37" s="72">
        <f t="shared" si="5"/>
        <v>246000</v>
      </c>
      <c r="AG37" s="59">
        <f>AF37</f>
        <v>246000</v>
      </c>
      <c r="AH37" s="59">
        <f>AG36+AG37</f>
        <v>493750</v>
      </c>
      <c r="AJ37" s="2">
        <f t="shared" si="0"/>
        <v>246000</v>
      </c>
    </row>
    <row r="38" spans="1:36" x14ac:dyDescent="0.25">
      <c r="A38" s="62" t="s">
        <v>14</v>
      </c>
      <c r="B38" s="64">
        <f t="shared" ref="B38:D38" si="6">SUM(B14:B34)</f>
        <v>1236700</v>
      </c>
      <c r="C38" s="64">
        <f t="shared" si="6"/>
        <v>1250129</v>
      </c>
      <c r="D38" s="64">
        <f t="shared" si="6"/>
        <v>2486829</v>
      </c>
      <c r="E38" s="64">
        <f>SUM(E14:E34)</f>
        <v>2486829</v>
      </c>
      <c r="F38" s="64">
        <f>SUM(F14:F34)</f>
        <v>2486829</v>
      </c>
      <c r="H38" s="40" t="s">
        <v>14</v>
      </c>
      <c r="I38" s="42">
        <f t="shared" ref="I38:L38" si="7">SUM(I14:I34)</f>
        <v>1236700</v>
      </c>
      <c r="J38" s="42">
        <f t="shared" si="7"/>
        <v>1250129</v>
      </c>
      <c r="K38" s="42">
        <f t="shared" si="7"/>
        <v>2486829</v>
      </c>
      <c r="L38" s="42">
        <f t="shared" si="7"/>
        <v>2486829</v>
      </c>
      <c r="M38" s="42">
        <f>SUM(M14:M34)</f>
        <v>2486829</v>
      </c>
      <c r="O38" s="62" t="s">
        <v>14</v>
      </c>
      <c r="P38" s="63">
        <f>SUM(P16:P35)</f>
        <v>1236700</v>
      </c>
      <c r="Q38" s="63">
        <f>SUM(Q16:Q35)</f>
        <v>1250129</v>
      </c>
      <c r="R38" s="66">
        <f>SUM(R16:R35)</f>
        <v>2486829</v>
      </c>
      <c r="S38" s="64">
        <f>SUM(S16:S36)</f>
        <v>2486829</v>
      </c>
      <c r="T38" s="64">
        <f>SUM(T16:T36)</f>
        <v>2486829</v>
      </c>
      <c r="V38" s="40" t="s">
        <v>14</v>
      </c>
      <c r="W38" s="41">
        <f>SUM(W16:W35)</f>
        <v>1236700</v>
      </c>
      <c r="X38" s="41">
        <f>SUM(X16:X35)</f>
        <v>1250129</v>
      </c>
      <c r="Y38" s="67">
        <f>SUM(Y16:Y35)</f>
        <v>2486829</v>
      </c>
      <c r="Z38" s="42">
        <f>SUM(Z16:Z36)</f>
        <v>2486829</v>
      </c>
      <c r="AA38" s="42">
        <f>SUM(AA16:AA36)</f>
        <v>2486829</v>
      </c>
      <c r="AC38" s="62" t="s">
        <v>14</v>
      </c>
      <c r="AD38" s="63">
        <f>SUM(AD18:AD37)</f>
        <v>1236700</v>
      </c>
      <c r="AE38" s="63">
        <f>SUM(AE18:AE37)</f>
        <v>1250129</v>
      </c>
      <c r="AF38" s="66">
        <f>SUM(AF18:AF37)</f>
        <v>2486829</v>
      </c>
      <c r="AG38" s="64">
        <f>SUM(AG18:AG37)</f>
        <v>2486829</v>
      </c>
      <c r="AH38" s="64">
        <f>SUM(AH18:AH37)</f>
        <v>2486829</v>
      </c>
      <c r="AJ38" s="64">
        <f>SUM(AJ14:AJ37)</f>
        <v>12434145</v>
      </c>
    </row>
  </sheetData>
  <mergeCells count="5">
    <mergeCell ref="B12:D12"/>
    <mergeCell ref="I12:K12"/>
    <mergeCell ref="P12:R12"/>
    <mergeCell ref="W12:Y12"/>
    <mergeCell ref="AD12:AF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7" sqref="A7"/>
    </sheetView>
  </sheetViews>
  <sheetFormatPr defaultRowHeight="15" x14ac:dyDescent="0.25"/>
  <cols>
    <col min="1" max="1" width="31" customWidth="1"/>
    <col min="2" max="2" width="13.7109375" customWidth="1"/>
  </cols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</row>
    <row r="6" spans="1:2" x14ac:dyDescent="0.25">
      <c r="A6" t="s">
        <v>144</v>
      </c>
    </row>
    <row r="7" spans="1:2" x14ac:dyDescent="0.25">
      <c r="A7" t="s">
        <v>47</v>
      </c>
    </row>
    <row r="9" spans="1:2" ht="15.75" x14ac:dyDescent="0.25">
      <c r="A9" s="101" t="s">
        <v>48</v>
      </c>
      <c r="B9" s="102" t="s">
        <v>49</v>
      </c>
    </row>
    <row r="10" spans="1:2" ht="15" customHeight="1" x14ac:dyDescent="0.25">
      <c r="A10" s="103" t="s">
        <v>50</v>
      </c>
      <c r="B10" s="31">
        <f>ROUND('Cost of Cessna 206'!B25,-3)</f>
        <v>936000</v>
      </c>
    </row>
    <row r="11" spans="1:2" ht="15" customHeight="1" x14ac:dyDescent="0.25">
      <c r="A11" s="90" t="s">
        <v>51</v>
      </c>
      <c r="B11" s="31">
        <f>ROUND(B10*3.85%,-3)</f>
        <v>36000</v>
      </c>
    </row>
    <row r="12" spans="1:2" ht="15" customHeight="1" x14ac:dyDescent="0.25">
      <c r="A12" s="90" t="s">
        <v>52</v>
      </c>
      <c r="B12" s="31">
        <v>30000</v>
      </c>
    </row>
    <row r="13" spans="1:2" ht="15" customHeight="1" x14ac:dyDescent="0.25">
      <c r="A13" s="104" t="s">
        <v>53</v>
      </c>
      <c r="B13" s="105">
        <f>ROUND(2500,-2)</f>
        <v>2500</v>
      </c>
    </row>
    <row r="14" spans="1:2" ht="15" customHeight="1" x14ac:dyDescent="0.25">
      <c r="A14" s="106" t="s">
        <v>54</v>
      </c>
      <c r="B14" s="107">
        <f>SUM(B10:B13)</f>
        <v>1004500</v>
      </c>
    </row>
    <row r="15" spans="1:2" ht="15" customHeight="1" x14ac:dyDescent="0.25">
      <c r="A15" s="108" t="s">
        <v>55</v>
      </c>
      <c r="B15" s="109">
        <f>ROUND(B14*10%,-2)</f>
        <v>100500</v>
      </c>
    </row>
    <row r="16" spans="1:2" ht="16.5" thickBot="1" x14ac:dyDescent="0.3">
      <c r="A16" s="110" t="s">
        <v>56</v>
      </c>
      <c r="B16" s="111">
        <f>SUM(B14:B15)</f>
        <v>1105000</v>
      </c>
    </row>
    <row r="17" spans="1:2" ht="15.75" thickTop="1" x14ac:dyDescent="0.25"/>
    <row r="18" spans="1:2" x14ac:dyDescent="0.25">
      <c r="B18" s="2"/>
    </row>
    <row r="19" spans="1:2" x14ac:dyDescent="0.25">
      <c r="A19" t="s">
        <v>57</v>
      </c>
    </row>
    <row r="20" spans="1:2" x14ac:dyDescent="0.25">
      <c r="A20" t="s">
        <v>58</v>
      </c>
    </row>
    <row r="21" spans="1:2" x14ac:dyDescent="0.25">
      <c r="A21" t="s">
        <v>59</v>
      </c>
    </row>
    <row r="22" spans="1:2" x14ac:dyDescent="0.25">
      <c r="A22" t="s">
        <v>60</v>
      </c>
    </row>
    <row r="23" spans="1:2" x14ac:dyDescent="0.25">
      <c r="A2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7" sqref="A7"/>
    </sheetView>
  </sheetViews>
  <sheetFormatPr defaultRowHeight="15" x14ac:dyDescent="0.25"/>
  <cols>
    <col min="1" max="1" width="43.28515625" customWidth="1"/>
    <col min="2" max="2" width="13.7109375" customWidth="1"/>
  </cols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</row>
    <row r="6" spans="1:2" x14ac:dyDescent="0.25">
      <c r="A6" t="s">
        <v>145</v>
      </c>
    </row>
    <row r="7" spans="1:2" x14ac:dyDescent="0.25">
      <c r="A7" t="s">
        <v>62</v>
      </c>
    </row>
    <row r="9" spans="1:2" x14ac:dyDescent="0.25">
      <c r="A9" t="s">
        <v>63</v>
      </c>
      <c r="B9" s="112">
        <v>757000</v>
      </c>
    </row>
    <row r="10" spans="1:2" x14ac:dyDescent="0.25">
      <c r="A10" t="s">
        <v>64</v>
      </c>
      <c r="B10" s="112"/>
    </row>
    <row r="11" spans="1:2" x14ac:dyDescent="0.25">
      <c r="A11" s="113" t="s">
        <v>65</v>
      </c>
      <c r="B11" s="112">
        <v>19060</v>
      </c>
    </row>
    <row r="12" spans="1:2" x14ac:dyDescent="0.25">
      <c r="A12" s="113" t="s">
        <v>66</v>
      </c>
      <c r="B12" s="112">
        <v>8120</v>
      </c>
    </row>
    <row r="13" spans="1:2" x14ac:dyDescent="0.25">
      <c r="A13" s="113" t="s">
        <v>67</v>
      </c>
      <c r="B13" s="112">
        <v>8800</v>
      </c>
    </row>
    <row r="14" spans="1:2" x14ac:dyDescent="0.25">
      <c r="A14" s="113" t="s">
        <v>68</v>
      </c>
      <c r="B14" s="112">
        <v>17840</v>
      </c>
    </row>
    <row r="15" spans="1:2" x14ac:dyDescent="0.25">
      <c r="A15" s="113" t="s">
        <v>69</v>
      </c>
      <c r="B15" s="112">
        <v>11260</v>
      </c>
    </row>
    <row r="16" spans="1:2" x14ac:dyDescent="0.25">
      <c r="A16" s="113" t="s">
        <v>70</v>
      </c>
      <c r="B16" s="112">
        <v>6150</v>
      </c>
    </row>
    <row r="17" spans="1:2" x14ac:dyDescent="0.25">
      <c r="A17" s="113" t="s">
        <v>71</v>
      </c>
      <c r="B17" s="112">
        <v>5040</v>
      </c>
    </row>
    <row r="18" spans="1:2" x14ac:dyDescent="0.25">
      <c r="A18" s="113" t="s">
        <v>72</v>
      </c>
      <c r="B18" s="112">
        <v>11520</v>
      </c>
    </row>
    <row r="19" spans="1:2" x14ac:dyDescent="0.25">
      <c r="A19" s="113" t="s">
        <v>73</v>
      </c>
      <c r="B19" s="112">
        <v>5160</v>
      </c>
    </row>
    <row r="20" spans="1:2" x14ac:dyDescent="0.25">
      <c r="A20" s="113" t="s">
        <v>74</v>
      </c>
      <c r="B20" s="112">
        <v>12550</v>
      </c>
    </row>
    <row r="21" spans="1:2" x14ac:dyDescent="0.25">
      <c r="A21" s="65" t="s">
        <v>75</v>
      </c>
      <c r="B21" s="114">
        <f>SUM(B9:B20)</f>
        <v>862500</v>
      </c>
    </row>
    <row r="22" spans="1:2" x14ac:dyDescent="0.25">
      <c r="A22" t="s">
        <v>76</v>
      </c>
      <c r="B22" s="112">
        <v>45777</v>
      </c>
    </row>
    <row r="23" spans="1:2" x14ac:dyDescent="0.25">
      <c r="A23" s="65" t="s">
        <v>77</v>
      </c>
      <c r="B23" s="114">
        <f>SUM(B21:B22)</f>
        <v>908277</v>
      </c>
    </row>
    <row r="24" spans="1:2" x14ac:dyDescent="0.25">
      <c r="A24" t="s">
        <v>78</v>
      </c>
      <c r="B24" s="112">
        <f>B23*3%</f>
        <v>27248.309999999998</v>
      </c>
    </row>
    <row r="25" spans="1:2" ht="16.5" thickBot="1" x14ac:dyDescent="0.3">
      <c r="A25" s="115" t="s">
        <v>79</v>
      </c>
      <c r="B25" s="116">
        <f>SUM(B23:B24)</f>
        <v>935525.31</v>
      </c>
    </row>
    <row r="26" spans="1:2" ht="15.75" thickTop="1" x14ac:dyDescent="0.25">
      <c r="B26" s="112"/>
    </row>
    <row r="27" spans="1:2" x14ac:dyDescent="0.25">
      <c r="B27" s="112"/>
    </row>
    <row r="28" spans="1:2" x14ac:dyDescent="0.25">
      <c r="A28" t="s">
        <v>80</v>
      </c>
      <c r="B28" s="112"/>
    </row>
    <row r="29" spans="1:2" x14ac:dyDescent="0.25">
      <c r="A29" t="s">
        <v>81</v>
      </c>
      <c r="B29" s="112"/>
    </row>
    <row r="30" spans="1:2" x14ac:dyDescent="0.25">
      <c r="A30" t="s">
        <v>82</v>
      </c>
      <c r="B30" s="112"/>
    </row>
    <row r="31" spans="1:2" x14ac:dyDescent="0.25">
      <c r="A31" s="136" t="s">
        <v>83</v>
      </c>
      <c r="B31" s="136"/>
    </row>
    <row r="32" spans="1:2" x14ac:dyDescent="0.25">
      <c r="A32" s="136"/>
      <c r="B32" s="136"/>
    </row>
  </sheetData>
  <mergeCells count="1">
    <mergeCell ref="A31:B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7" sqref="A7"/>
    </sheetView>
  </sheetViews>
  <sheetFormatPr defaultRowHeight="15" x14ac:dyDescent="0.25"/>
  <cols>
    <col min="1" max="1" width="53.28515625" bestFit="1" customWidth="1"/>
    <col min="2" max="2" width="13.7109375" customWidth="1"/>
  </cols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</row>
    <row r="6" spans="1:2" x14ac:dyDescent="0.25">
      <c r="A6" t="s">
        <v>146</v>
      </c>
    </row>
    <row r="7" spans="1:2" x14ac:dyDescent="0.25">
      <c r="A7" t="s">
        <v>84</v>
      </c>
    </row>
    <row r="9" spans="1:2" x14ac:dyDescent="0.25">
      <c r="A9" t="s">
        <v>85</v>
      </c>
      <c r="B9" s="112">
        <f>ROUND(633976,-2)</f>
        <v>634000</v>
      </c>
    </row>
    <row r="10" spans="1:2" x14ac:dyDescent="0.25">
      <c r="A10" t="s">
        <v>86</v>
      </c>
      <c r="B10" s="112"/>
    </row>
    <row r="11" spans="1:2" x14ac:dyDescent="0.25">
      <c r="A11" s="113" t="s">
        <v>87</v>
      </c>
      <c r="B11" s="112">
        <v>119000</v>
      </c>
    </row>
    <row r="12" spans="1:2" x14ac:dyDescent="0.25">
      <c r="A12" s="113" t="s">
        <v>88</v>
      </c>
      <c r="B12" s="112">
        <f>ROUND(60785,-1)</f>
        <v>60790</v>
      </c>
    </row>
    <row r="13" spans="1:2" x14ac:dyDescent="0.25">
      <c r="A13" s="113" t="s">
        <v>89</v>
      </c>
      <c r="B13" s="112">
        <v>21000</v>
      </c>
    </row>
    <row r="14" spans="1:2" x14ac:dyDescent="0.25">
      <c r="A14" s="113" t="s">
        <v>90</v>
      </c>
      <c r="B14" s="112">
        <v>14000</v>
      </c>
    </row>
    <row r="15" spans="1:2" x14ac:dyDescent="0.25">
      <c r="A15" s="113" t="s">
        <v>91</v>
      </c>
      <c r="B15" s="112">
        <v>10300</v>
      </c>
    </row>
    <row r="16" spans="1:2" x14ac:dyDescent="0.25">
      <c r="A16" s="113" t="s">
        <v>92</v>
      </c>
      <c r="B16" s="112">
        <v>8000</v>
      </c>
    </row>
    <row r="17" spans="1:2" x14ac:dyDescent="0.25">
      <c r="A17" s="113" t="s">
        <v>93</v>
      </c>
      <c r="B17" s="112">
        <v>5500</v>
      </c>
    </row>
    <row r="18" spans="1:2" x14ac:dyDescent="0.25">
      <c r="A18" s="113" t="s">
        <v>94</v>
      </c>
      <c r="B18" s="112">
        <v>1600</v>
      </c>
    </row>
    <row r="19" spans="1:2" x14ac:dyDescent="0.25">
      <c r="A19" s="113" t="s">
        <v>95</v>
      </c>
      <c r="B19" s="112">
        <f>ROUND(141265,-1)</f>
        <v>141270</v>
      </c>
    </row>
    <row r="20" spans="1:2" x14ac:dyDescent="0.25">
      <c r="A20" s="65" t="s">
        <v>54</v>
      </c>
      <c r="B20" s="114">
        <f>SUM(B9:B19)</f>
        <v>1015460</v>
      </c>
    </row>
    <row r="21" spans="1:2" x14ac:dyDescent="0.25">
      <c r="A21" t="s">
        <v>55</v>
      </c>
      <c r="B21" s="112">
        <f>ROUND(B20*10%,-1)</f>
        <v>101550</v>
      </c>
    </row>
    <row r="22" spans="1:2" ht="16.5" thickBot="1" x14ac:dyDescent="0.3">
      <c r="A22" s="115" t="s">
        <v>14</v>
      </c>
      <c r="B22" s="116">
        <f>SUM(B20:B21)</f>
        <v>1117010</v>
      </c>
    </row>
    <row r="23" spans="1:2" ht="15.75" thickTop="1" x14ac:dyDescent="0.25">
      <c r="B23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22" sqref="C22"/>
    </sheetView>
  </sheetViews>
  <sheetFormatPr defaultRowHeight="15" x14ac:dyDescent="0.25"/>
  <cols>
    <col min="1" max="1" width="35.5703125" customWidth="1"/>
    <col min="2" max="5" width="13.7109375" customWidth="1"/>
  </cols>
  <sheetData>
    <row r="1" spans="1:5" x14ac:dyDescent="0.25">
      <c r="A1" s="117" t="s">
        <v>0</v>
      </c>
    </row>
    <row r="2" spans="1:5" x14ac:dyDescent="0.25">
      <c r="A2" s="117" t="s">
        <v>96</v>
      </c>
    </row>
    <row r="3" spans="1:5" x14ac:dyDescent="0.25">
      <c r="A3" s="117" t="s">
        <v>97</v>
      </c>
    </row>
    <row r="4" spans="1:5" x14ac:dyDescent="0.25">
      <c r="B4" s="137" t="s">
        <v>98</v>
      </c>
      <c r="C4" s="137"/>
      <c r="D4" s="137" t="s">
        <v>99</v>
      </c>
      <c r="E4" s="137"/>
    </row>
    <row r="5" spans="1:5" x14ac:dyDescent="0.25">
      <c r="B5" s="118" t="s">
        <v>100</v>
      </c>
      <c r="C5" s="118" t="s">
        <v>101</v>
      </c>
      <c r="D5" s="118" t="s">
        <v>102</v>
      </c>
      <c r="E5" s="118" t="s">
        <v>103</v>
      </c>
    </row>
    <row r="6" spans="1:5" x14ac:dyDescent="0.25">
      <c r="A6" t="s">
        <v>104</v>
      </c>
      <c r="B6" s="43">
        <v>1027123</v>
      </c>
      <c r="C6" s="43">
        <v>1117576</v>
      </c>
      <c r="D6" s="43">
        <v>1187541</v>
      </c>
      <c r="E6" s="43">
        <v>1139666</v>
      </c>
    </row>
    <row r="7" spans="1:5" x14ac:dyDescent="0.25">
      <c r="A7" t="s">
        <v>105</v>
      </c>
      <c r="B7" s="43">
        <v>284425</v>
      </c>
      <c r="C7" s="43">
        <v>311643</v>
      </c>
      <c r="D7" s="43">
        <v>373213</v>
      </c>
      <c r="E7" s="43">
        <v>360135</v>
      </c>
    </row>
    <row r="8" spans="1:5" x14ac:dyDescent="0.25">
      <c r="A8" t="s">
        <v>106</v>
      </c>
      <c r="B8" s="43"/>
      <c r="C8" s="43">
        <v>25</v>
      </c>
      <c r="D8" s="43"/>
      <c r="E8" s="43"/>
    </row>
    <row r="9" spans="1:5" x14ac:dyDescent="0.25">
      <c r="A9" t="s">
        <v>107</v>
      </c>
      <c r="B9" s="43">
        <v>524666</v>
      </c>
      <c r="C9" s="43">
        <v>541435</v>
      </c>
      <c r="D9" s="43">
        <v>462947</v>
      </c>
      <c r="E9" s="43">
        <v>565053</v>
      </c>
    </row>
    <row r="10" spans="1:5" x14ac:dyDescent="0.25">
      <c r="A10" t="s">
        <v>108</v>
      </c>
      <c r="B10" s="43">
        <v>25756</v>
      </c>
      <c r="C10" s="43">
        <v>7811</v>
      </c>
      <c r="D10" s="43">
        <v>11013</v>
      </c>
      <c r="E10" s="43">
        <v>3192</v>
      </c>
    </row>
    <row r="11" spans="1:5" x14ac:dyDescent="0.25">
      <c r="A11" t="s">
        <v>109</v>
      </c>
      <c r="B11" s="43">
        <v>54942</v>
      </c>
      <c r="C11" s="43">
        <v>209806</v>
      </c>
      <c r="D11" s="43">
        <v>128911</v>
      </c>
      <c r="E11" s="43">
        <v>171906</v>
      </c>
    </row>
    <row r="12" spans="1:5" x14ac:dyDescent="0.25">
      <c r="A12" t="s">
        <v>110</v>
      </c>
      <c r="B12" s="43"/>
      <c r="C12" s="43"/>
      <c r="D12" s="43">
        <v>100</v>
      </c>
      <c r="E12" s="43"/>
    </row>
    <row r="13" spans="1:5" x14ac:dyDescent="0.25">
      <c r="A13" t="s">
        <v>111</v>
      </c>
      <c r="B13" s="43">
        <v>-3320</v>
      </c>
      <c r="C13" s="43">
        <v>-9117</v>
      </c>
      <c r="D13" s="43">
        <v>-1708</v>
      </c>
      <c r="E13" s="43"/>
    </row>
    <row r="14" spans="1:5" x14ac:dyDescent="0.25">
      <c r="A14" t="s">
        <v>112</v>
      </c>
      <c r="B14" s="68">
        <v>878</v>
      </c>
      <c r="C14" s="68">
        <v>2036</v>
      </c>
      <c r="D14" s="68">
        <v>382</v>
      </c>
      <c r="E14" s="68"/>
    </row>
    <row r="15" spans="1:5" x14ac:dyDescent="0.25">
      <c r="A15" s="119" t="s">
        <v>113</v>
      </c>
      <c r="B15" s="43">
        <f>SUM(B6:B14)</f>
        <v>1914470</v>
      </c>
      <c r="C15" s="43">
        <f t="shared" ref="C15:E15" si="0">SUM(C6:C14)</f>
        <v>2181215</v>
      </c>
      <c r="D15" s="43">
        <f t="shared" si="0"/>
        <v>2162399</v>
      </c>
      <c r="E15" s="43">
        <f t="shared" si="0"/>
        <v>2239952</v>
      </c>
    </row>
    <row r="16" spans="1:5" ht="20.100000000000001" customHeight="1" x14ac:dyDescent="0.25">
      <c r="A16" s="4" t="s">
        <v>114</v>
      </c>
      <c r="B16" s="43"/>
      <c r="C16" s="43">
        <f>C15+B15</f>
        <v>4095685</v>
      </c>
      <c r="D16" s="43"/>
      <c r="E16" s="43">
        <f>E15+D15</f>
        <v>4402351</v>
      </c>
    </row>
    <row r="19" spans="1:5" x14ac:dyDescent="0.25">
      <c r="B19" s="120"/>
      <c r="C19" s="120"/>
      <c r="D19" s="121"/>
      <c r="E19" s="121"/>
    </row>
    <row r="20" spans="1:5" x14ac:dyDescent="0.25">
      <c r="A20" t="s">
        <v>115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27" sqref="E27"/>
    </sheetView>
  </sheetViews>
  <sheetFormatPr defaultRowHeight="15" x14ac:dyDescent="0.25"/>
  <cols>
    <col min="1" max="1" width="15.5703125" customWidth="1"/>
    <col min="3" max="3" width="14" bestFit="1" customWidth="1"/>
    <col min="5" max="5" width="15.5703125" bestFit="1" customWidth="1"/>
    <col min="6" max="6" width="14.140625" bestFit="1" customWidth="1"/>
  </cols>
  <sheetData>
    <row r="1" spans="1:7" x14ac:dyDescent="0.25">
      <c r="A1" s="117" t="s">
        <v>0</v>
      </c>
    </row>
    <row r="2" spans="1:7" x14ac:dyDescent="0.25">
      <c r="A2" s="117" t="s">
        <v>116</v>
      </c>
    </row>
    <row r="5" spans="1:7" ht="17.25" x14ac:dyDescent="0.25">
      <c r="A5" s="128" t="s">
        <v>5</v>
      </c>
      <c r="B5" s="129" t="s">
        <v>117</v>
      </c>
      <c r="C5" s="129" t="s">
        <v>118</v>
      </c>
      <c r="D5" s="129" t="s">
        <v>119</v>
      </c>
      <c r="E5" s="129" t="s">
        <v>142</v>
      </c>
      <c r="F5" s="129" t="s">
        <v>120</v>
      </c>
    </row>
    <row r="6" spans="1:7" x14ac:dyDescent="0.25">
      <c r="A6" t="s">
        <v>121</v>
      </c>
      <c r="B6" s="4" t="s">
        <v>122</v>
      </c>
      <c r="C6" s="4">
        <v>2001</v>
      </c>
      <c r="D6" s="4">
        <f>2021-C6</f>
        <v>20</v>
      </c>
      <c r="E6" s="122">
        <v>10470</v>
      </c>
      <c r="F6" s="123" t="s">
        <v>15</v>
      </c>
      <c r="G6" s="1">
        <v>44958</v>
      </c>
    </row>
    <row r="7" spans="1:7" x14ac:dyDescent="0.25">
      <c r="A7" t="s">
        <v>121</v>
      </c>
      <c r="B7" s="4" t="s">
        <v>123</v>
      </c>
      <c r="C7" s="4">
        <v>2001</v>
      </c>
      <c r="D7" s="4">
        <f>2021-C7</f>
        <v>20</v>
      </c>
      <c r="E7" s="122">
        <v>9520</v>
      </c>
      <c r="F7" s="123" t="s">
        <v>15</v>
      </c>
      <c r="G7" s="1">
        <v>45047</v>
      </c>
    </row>
    <row r="8" spans="1:7" x14ac:dyDescent="0.25">
      <c r="A8" t="s">
        <v>121</v>
      </c>
      <c r="B8" s="4" t="s">
        <v>124</v>
      </c>
      <c r="C8" s="4">
        <v>2002</v>
      </c>
      <c r="D8" s="4">
        <f>2021-C8</f>
        <v>19</v>
      </c>
      <c r="E8" s="122">
        <v>8620</v>
      </c>
      <c r="F8" s="123" t="s">
        <v>16</v>
      </c>
      <c r="G8" s="1">
        <v>45323</v>
      </c>
    </row>
    <row r="9" spans="1:7" x14ac:dyDescent="0.25">
      <c r="A9" t="s">
        <v>125</v>
      </c>
      <c r="B9" s="4" t="s">
        <v>126</v>
      </c>
      <c r="C9" s="4">
        <v>2000</v>
      </c>
      <c r="D9" s="4">
        <f>2021-C9</f>
        <v>21</v>
      </c>
      <c r="E9" s="122">
        <v>8380</v>
      </c>
      <c r="F9" s="123" t="s">
        <v>16</v>
      </c>
      <c r="G9" s="1">
        <v>45413</v>
      </c>
    </row>
    <row r="10" spans="1:7" x14ac:dyDescent="0.25">
      <c r="A10" t="s">
        <v>125</v>
      </c>
      <c r="B10" s="4" t="s">
        <v>127</v>
      </c>
      <c r="C10" s="4">
        <v>1999</v>
      </c>
      <c r="D10" s="4">
        <f>2021-C10</f>
        <v>22</v>
      </c>
      <c r="E10" s="122">
        <v>7930</v>
      </c>
      <c r="F10" s="123" t="s">
        <v>18</v>
      </c>
      <c r="G10" s="1">
        <v>46054</v>
      </c>
    </row>
    <row r="13" spans="1:7" x14ac:dyDescent="0.25">
      <c r="A13" t="s">
        <v>128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6" sqref="A6"/>
    </sheetView>
  </sheetViews>
  <sheetFormatPr defaultRowHeight="15" x14ac:dyDescent="0.25"/>
  <cols>
    <col min="1" max="1" width="38.5703125" customWidth="1"/>
    <col min="2" max="2" width="13.7109375" customWidth="1"/>
    <col min="3" max="3" width="3.7109375" customWidth="1"/>
    <col min="4" max="8" width="12" bestFit="1" customWidth="1"/>
    <col min="9" max="9" width="14" customWidth="1"/>
  </cols>
  <sheetData>
    <row r="1" spans="1:9" x14ac:dyDescent="0.25">
      <c r="A1" t="s">
        <v>43</v>
      </c>
    </row>
    <row r="2" spans="1:9" x14ac:dyDescent="0.25">
      <c r="A2" t="s">
        <v>44</v>
      </c>
    </row>
    <row r="3" spans="1:9" x14ac:dyDescent="0.25">
      <c r="A3" t="s">
        <v>45</v>
      </c>
    </row>
    <row r="4" spans="1:9" x14ac:dyDescent="0.25">
      <c r="A4" t="s">
        <v>46</v>
      </c>
    </row>
    <row r="7" spans="1:9" x14ac:dyDescent="0.25">
      <c r="A7" t="s">
        <v>130</v>
      </c>
    </row>
    <row r="9" spans="1:9" ht="20.100000000000001" customHeight="1" x14ac:dyDescent="0.25">
      <c r="A9" s="124" t="s">
        <v>131</v>
      </c>
      <c r="B9" s="125" t="s">
        <v>132</v>
      </c>
      <c r="C9" s="124"/>
      <c r="D9" s="125" t="s">
        <v>133</v>
      </c>
      <c r="E9" s="125" t="s">
        <v>134</v>
      </c>
      <c r="F9" s="125" t="s">
        <v>135</v>
      </c>
      <c r="G9" s="125" t="s">
        <v>136</v>
      </c>
      <c r="H9" s="125" t="s">
        <v>137</v>
      </c>
      <c r="I9" s="125" t="s">
        <v>138</v>
      </c>
    </row>
    <row r="10" spans="1:9" x14ac:dyDescent="0.25">
      <c r="A10" t="s">
        <v>125</v>
      </c>
      <c r="B10" s="126">
        <f>'Purchase Cessna 206'!B16</f>
        <v>1105000</v>
      </c>
      <c r="D10" s="2">
        <f>B10*2</f>
        <v>2210000</v>
      </c>
      <c r="E10" s="2"/>
      <c r="F10" s="2">
        <f>B10*2</f>
        <v>2210000</v>
      </c>
      <c r="G10" s="2"/>
      <c r="H10" s="2">
        <f>B10</f>
        <v>1105000</v>
      </c>
      <c r="I10" s="2">
        <f>SUM(D10:H10)</f>
        <v>5525000</v>
      </c>
    </row>
    <row r="11" spans="1:9" x14ac:dyDescent="0.25">
      <c r="A11" t="s">
        <v>139</v>
      </c>
      <c r="B11" s="126">
        <f>'Cost of FLIR'!B22</f>
        <v>1117010</v>
      </c>
      <c r="D11" s="2">
        <f>B11*2</f>
        <v>2234020</v>
      </c>
      <c r="E11" s="2"/>
      <c r="F11" s="2">
        <f>B11*2</f>
        <v>2234020</v>
      </c>
      <c r="G11" s="2"/>
      <c r="H11" s="2">
        <f>B11</f>
        <v>1117010</v>
      </c>
      <c r="I11" s="2">
        <f>SUM(D11:H11)</f>
        <v>5585050</v>
      </c>
    </row>
    <row r="12" spans="1:9" ht="16.5" thickBot="1" x14ac:dyDescent="0.3">
      <c r="A12" s="115" t="s">
        <v>138</v>
      </c>
      <c r="B12" s="127">
        <f>SUM(B10:B11)</f>
        <v>2222010</v>
      </c>
      <c r="D12" s="127">
        <f>SUM(D10:D11)</f>
        <v>4444020</v>
      </c>
      <c r="E12" s="127">
        <f t="shared" ref="E12:H12" si="0">SUM(E10:E11)</f>
        <v>0</v>
      </c>
      <c r="F12" s="127">
        <f t="shared" si="0"/>
        <v>4444020</v>
      </c>
      <c r="G12" s="127">
        <f t="shared" si="0"/>
        <v>0</v>
      </c>
      <c r="H12" s="127">
        <f t="shared" si="0"/>
        <v>2222010</v>
      </c>
      <c r="I12" s="127">
        <f>SUM(I10:I11)</f>
        <v>11110050</v>
      </c>
    </row>
    <row r="13" spans="1:9" ht="15.75" thickTop="1" x14ac:dyDescent="0.25"/>
    <row r="16" spans="1:9" x14ac:dyDescent="0.25">
      <c r="A16" t="s">
        <v>140</v>
      </c>
      <c r="B16" s="99">
        <v>0.02</v>
      </c>
      <c r="D16" s="2">
        <f>ROUND(D12*$B$16,-3)</f>
        <v>89000</v>
      </c>
      <c r="E16" s="2">
        <f t="shared" ref="E16:I16" si="1">ROUND(E12*$B$16,-3)</f>
        <v>0</v>
      </c>
      <c r="F16" s="2">
        <f t="shared" si="1"/>
        <v>89000</v>
      </c>
      <c r="G16" s="2">
        <f t="shared" si="1"/>
        <v>0</v>
      </c>
      <c r="H16" s="2">
        <f t="shared" si="1"/>
        <v>44000</v>
      </c>
      <c r="I16" s="2">
        <f t="shared" si="1"/>
        <v>222000</v>
      </c>
    </row>
    <row r="17" spans="1:9" x14ac:dyDescent="0.25">
      <c r="A17" t="s">
        <v>141</v>
      </c>
      <c r="B17" s="99">
        <v>0.98</v>
      </c>
      <c r="D17" s="2">
        <f>ROUND(D12*$B$17,-3)</f>
        <v>4355000</v>
      </c>
      <c r="E17" s="2">
        <f t="shared" ref="E17:I17" si="2">ROUND(E12*$B$17,-3)</f>
        <v>0</v>
      </c>
      <c r="F17" s="2">
        <f t="shared" si="2"/>
        <v>4355000</v>
      </c>
      <c r="G17" s="2">
        <f t="shared" si="2"/>
        <v>0</v>
      </c>
      <c r="H17" s="2">
        <f t="shared" si="2"/>
        <v>2178000</v>
      </c>
      <c r="I17" s="2">
        <f t="shared" si="2"/>
        <v>10888000</v>
      </c>
    </row>
    <row r="18" spans="1:9" ht="16.5" thickBot="1" x14ac:dyDescent="0.3">
      <c r="A18" t="s">
        <v>7</v>
      </c>
      <c r="D18" s="127">
        <f t="shared" ref="D18:I18" si="3">SUM(D16:D17)</f>
        <v>4444000</v>
      </c>
      <c r="E18" s="127">
        <f t="shared" si="3"/>
        <v>0</v>
      </c>
      <c r="F18" s="127">
        <f t="shared" si="3"/>
        <v>4444000</v>
      </c>
      <c r="G18" s="127">
        <f t="shared" si="3"/>
        <v>0</v>
      </c>
      <c r="H18" s="127">
        <f t="shared" si="3"/>
        <v>2222000</v>
      </c>
      <c r="I18" s="127">
        <f t="shared" si="3"/>
        <v>11110000</v>
      </c>
    </row>
    <row r="19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 Summary</vt:lpstr>
      <vt:lpstr>COP Details</vt:lpstr>
      <vt:lpstr>Purchase Cessna 206</vt:lpstr>
      <vt:lpstr>Cost of Cessna 206</vt:lpstr>
      <vt:lpstr>Cost of FLIR</vt:lpstr>
      <vt:lpstr>Prior Biennium Expenditures</vt:lpstr>
      <vt:lpstr>Cessna Fleet Information</vt:lpstr>
      <vt:lpstr>one-time appropriations</vt:lpstr>
    </vt:vector>
  </TitlesOfParts>
  <Company>Washington State Patrol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Sanford</dc:creator>
  <cp:lastModifiedBy>Kendra Sanford</cp:lastModifiedBy>
  <dcterms:created xsi:type="dcterms:W3CDTF">2021-08-18T19:55:44Z</dcterms:created>
  <dcterms:modified xsi:type="dcterms:W3CDTF">2021-08-18T21:31:40Z</dcterms:modified>
</cp:coreProperties>
</file>